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 congés" sheetId="1" state="visible" r:id="rId1"/>
    <sheet xmlns:r="http://schemas.openxmlformats.org/officeDocument/2006/relationships" name="Demandes de congés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Gui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 ##0.00 [$€-40C]"/>
    <numFmt numFmtId="166" formatCode="0.0&quot;%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5"/>
    </font>
    <font>
      <name val="Calibri"/>
      <b val="1"/>
      <color rgb="001E293B"/>
      <sz val="12"/>
    </font>
    <font>
      <name val="Calibri"/>
      <b val="1"/>
      <color rgb="001E293B"/>
      <sz val="11"/>
    </font>
    <font>
      <name val="Calibri"/>
      <b val="1"/>
      <color rgb="001E293B"/>
      <sz val="10"/>
    </font>
    <font>
      <name val="Calibri"/>
      <color rgb="00374151"/>
      <sz val="10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E2E8F0"/>
      </patternFill>
    </fill>
    <fill>
      <patternFill patternType="solid">
        <fgColor rgb="00F1F5F9"/>
      </patternFill>
    </fill>
    <fill>
      <patternFill patternType="solid">
        <fgColor rgb="00DBEAF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49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" fontId="3" fillId="4" borderId="1" applyAlignment="1" pivotButton="0" quotePrefix="0" xfId="0">
      <alignment horizontal="center" vertical="center" wrapText="1"/>
    </xf>
    <xf numFmtId="49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1" fontId="5" fillId="6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1" fontId="4" fillId="7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left" vertical="center" wrapText="1"/>
    </xf>
    <xf numFmtId="1" fontId="8" fillId="9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" fontId="0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165" fontId="8" fillId="9" borderId="1" applyAlignment="1" pivotButton="0" quotePrefix="0" xfId="0">
      <alignment horizontal="center" vertical="center" wrapText="1"/>
    </xf>
    <xf numFmtId="166" fontId="8" fillId="9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top" wrapText="1"/>
    </xf>
    <xf numFmtId="0" fontId="10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164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165" fontId="8" fillId="9" borderId="1" applyAlignment="1" pivotButton="0" quotePrefix="0" xfId="0">
      <alignment horizontal="center" vertical="center" wrapText="1"/>
    </xf>
    <xf numFmtId="166" fontId="8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  <sz val="10"/>
      </font>
      <fill>
        <patternFill patternType="solid">
          <fgColor rgb="00FECACA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Congés pris vs Solde restant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'Synthèse'!F4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solidFill>
                <a:srgbClr val="C8102E"/>
              </a:solidFill>
              <a:prstDash val="solid"/>
            </a:ln>
          </spPr>
          <cat>
            <numRef>
              <f>'Synthèse'!$E$5:$E$11</f>
            </numRef>
          </cat>
          <val>
            <numRef>
              <f>'Synthèse'!$F$5:$F$11</f>
            </numRef>
          </val>
        </ser>
        <ser>
          <idx val="1"/>
          <order val="1"/>
          <tx>
            <strRef>
              <f>'Synthèse'!G4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solidFill>
                <a:srgbClr val="1E293B"/>
              </a:solidFill>
              <a:prstDash val="solid"/>
            </a:ln>
          </spPr>
          <cat>
            <numRef>
              <f>'Synthèse'!$E$5:$E$11</f>
            </numRef>
          </cat>
          <val>
            <numRef>
              <f>'Synthèse'!$G$5:$G$11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demandes par statut</a:t>
            </a:r>
          </a:p>
        </rich>
      </tx>
    </title>
    <plotArea>
      <pieChart>
        <varyColors val="1"/>
        <ser>
          <idx val="0"/>
          <order val="0"/>
          <tx>
            <strRef>
              <f>'Synthèse'!K4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AB308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'Synthèse'!$J$5:$J$7</f>
            </numRef>
          </cat>
          <val>
            <numRef>
              <f>'Synthèse'!$K$5:$K$7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2" customWidth="1" min="3" max="3"/>
    <col width="13" customWidth="1" min="4" max="4"/>
    <col width="20" customWidth="1" min="5" max="5"/>
    <col width="13" customWidth="1" min="6" max="6"/>
    <col width="15" customWidth="1" min="7" max="7"/>
    <col width="14" customWidth="1" min="8" max="8"/>
    <col width="12" customWidth="1" min="9" max="9"/>
    <col width="13" customWidth="1" min="10" max="10"/>
    <col width="13" customWidth="1" min="11" max="11"/>
    <col width="13" customWidth="1" min="12" max="12"/>
    <col width="14" customWidth="1" min="13" max="13"/>
    <col width="14" customWidth="1" min="14" max="14"/>
    <col width="12" customWidth="1" min="15" max="15"/>
    <col width="15" customWidth="1" min="16" max="16"/>
    <col width="17" customWidth="1" min="17" max="17"/>
  </cols>
  <sheetData>
    <row r="1" ht="30" customHeight="1">
      <c r="A1" s="1" t="inlineStr">
        <is>
          <t>CALCUL DES CONGÉS PAYÉS — ANNÉE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2" t="n"/>
      <c r="O1" s="32" t="n"/>
      <c r="P1" s="32" t="n"/>
      <c r="Q1" s="33" t="n"/>
    </row>
    <row r="2" ht="40" customHeight="1">
      <c r="A2" s="2" t="inlineStr">
        <is>
          <t>Matricule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Service</t>
        </is>
      </c>
      <c r="E2" s="2" t="inlineStr">
        <is>
          <t>Poste</t>
        </is>
      </c>
      <c r="F2" s="2" t="inlineStr">
        <is>
          <t>Date d'entrée</t>
        </is>
      </c>
      <c r="G2" s="2" t="inlineStr">
        <is>
          <t>Statut contrat</t>
        </is>
      </c>
      <c r="H2" s="2" t="inlineStr">
        <is>
          <t>Salaire brut
mensuel €</t>
        </is>
      </c>
      <c r="I2" s="2" t="inlineStr">
        <is>
          <t>Ancienneté
(mois)</t>
        </is>
      </c>
      <c r="J2" s="2" t="inlineStr">
        <is>
          <t>Congés acquis
N-1 (j)</t>
        </is>
      </c>
      <c r="K2" s="2" t="inlineStr">
        <is>
          <t>Congés pris
N-1 (j)</t>
        </is>
      </c>
      <c r="L2" s="2" t="inlineStr">
        <is>
          <t>Report
disponibles (j)</t>
        </is>
      </c>
      <c r="M2" s="2" t="inlineStr">
        <is>
          <t>Congés acquis
N en cours (j)</t>
        </is>
      </c>
      <c r="N2" s="2" t="inlineStr">
        <is>
          <t>Congés pris
N en cours (j)</t>
        </is>
      </c>
      <c r="O2" s="2" t="inlineStr">
        <is>
          <t>Solde congés
(j)</t>
        </is>
      </c>
      <c r="P2" s="2" t="inlineStr">
        <is>
          <t>Indemnité
estimée €</t>
        </is>
      </c>
      <c r="Q2" s="2" t="inlineStr">
        <is>
          <t>Commentaire</t>
        </is>
      </c>
    </row>
    <row r="3">
      <c r="A3" s="3" t="inlineStr">
        <is>
          <t>EMP001</t>
        </is>
      </c>
      <c r="B3" s="4" t="inlineStr">
        <is>
          <t>Dupont</t>
        </is>
      </c>
      <c r="C3" s="4" t="inlineStr">
        <is>
          <t>Marie</t>
        </is>
      </c>
      <c r="D3" s="4" t="inlineStr">
        <is>
          <t>RH</t>
        </is>
      </c>
      <c r="E3" s="4" t="inlineStr">
        <is>
          <t>Responsable RH</t>
        </is>
      </c>
      <c r="F3" s="34" t="n">
        <v>43174</v>
      </c>
      <c r="G3" s="4" t="inlineStr">
        <is>
          <t>CDI</t>
        </is>
      </c>
      <c r="H3" s="35" t="n">
        <v>2850</v>
      </c>
      <c r="I3" s="7">
        <f>IFERROR(DATEDIF(F3,DATE(2026,12,31),"M"),0)</f>
        <v/>
      </c>
      <c r="J3" s="7" t="n">
        <v>25</v>
      </c>
      <c r="K3" s="7" t="n">
        <v>20</v>
      </c>
      <c r="L3" s="7">
        <f>MAX(0,MIN(10,J3-K3))</f>
        <v/>
      </c>
      <c r="M3" s="7">
        <f>MAX(0,ROUND(I3/12*25,0))</f>
        <v/>
      </c>
      <c r="N3" s="7" t="n">
        <v>8</v>
      </c>
      <c r="O3" s="7">
        <f>J3+L3+M3-K3-N3</f>
        <v/>
      </c>
      <c r="P3" s="35">
        <f>IFERROR(H3/26*O3,0)</f>
        <v/>
      </c>
      <c r="Q3" s="4">
        <f>IF(O3&lt;0,"⚠ À régulariser",IF(O3=0,"Solde nul","OK"))</f>
        <v/>
      </c>
    </row>
    <row r="4">
      <c r="A4" s="8" t="inlineStr">
        <is>
          <t>EMP002</t>
        </is>
      </c>
      <c r="B4" s="9" t="inlineStr">
        <is>
          <t>Martin</t>
        </is>
      </c>
      <c r="C4" s="9" t="inlineStr">
        <is>
          <t>Julien</t>
        </is>
      </c>
      <c r="D4" s="9" t="inlineStr">
        <is>
          <t>Commercial</t>
        </is>
      </c>
      <c r="E4" s="9" t="inlineStr">
        <is>
          <t>Chargé d'affaires</t>
        </is>
      </c>
      <c r="F4" s="36" t="n">
        <v>45536</v>
      </c>
      <c r="G4" s="9" t="inlineStr">
        <is>
          <t>CDD</t>
        </is>
      </c>
      <c r="H4" s="37" t="n">
        <v>2400</v>
      </c>
      <c r="I4" s="12">
        <f>IFERROR(DATEDIF(F4,DATE(2026,12,31),"M"),0)</f>
        <v/>
      </c>
      <c r="J4" s="12" t="n">
        <v>25</v>
      </c>
      <c r="K4" s="12" t="n">
        <v>25</v>
      </c>
      <c r="L4" s="12">
        <f>MAX(0,MIN(10,J4-K4))</f>
        <v/>
      </c>
      <c r="M4" s="12">
        <f>MAX(0,ROUND(I4/12*25,0))</f>
        <v/>
      </c>
      <c r="N4" s="12" t="n">
        <v>5</v>
      </c>
      <c r="O4" s="12">
        <f>J4+L4+M4-K4-N4</f>
        <v/>
      </c>
      <c r="P4" s="37">
        <f>IFERROR(H4/26*O4,0)</f>
        <v/>
      </c>
      <c r="Q4" s="9">
        <f>IF(O4&lt;0,"⚠ À régulariser",IF(O4=0,"Solde nul","OK"))</f>
        <v/>
      </c>
    </row>
    <row r="5">
      <c r="A5" s="3" t="inlineStr">
        <is>
          <t>EMP003</t>
        </is>
      </c>
      <c r="B5" s="4" t="inlineStr">
        <is>
          <t>Bernard</t>
        </is>
      </c>
      <c r="C5" s="4" t="inlineStr">
        <is>
          <t>Sophie</t>
        </is>
      </c>
      <c r="D5" s="4" t="inlineStr">
        <is>
          <t>Finance</t>
        </is>
      </c>
      <c r="E5" s="4" t="inlineStr">
        <is>
          <t>Comptable</t>
        </is>
      </c>
      <c r="F5" s="34" t="n">
        <v>42531</v>
      </c>
      <c r="G5" s="4" t="inlineStr">
        <is>
          <t>CDI</t>
        </is>
      </c>
      <c r="H5" s="35" t="n">
        <v>3100</v>
      </c>
      <c r="I5" s="7">
        <f>IFERROR(DATEDIF(F5,DATE(2026,12,31),"M"),0)</f>
        <v/>
      </c>
      <c r="J5" s="7" t="n">
        <v>25</v>
      </c>
      <c r="K5" s="7" t="n">
        <v>18</v>
      </c>
      <c r="L5" s="7">
        <f>MAX(0,MIN(10,J5-K5))</f>
        <v/>
      </c>
      <c r="M5" s="7">
        <f>MAX(0,ROUND(I5/12*25,0))</f>
        <v/>
      </c>
      <c r="N5" s="7" t="n">
        <v>12</v>
      </c>
      <c r="O5" s="7">
        <f>J5+L5+M5-K5-N5</f>
        <v/>
      </c>
      <c r="P5" s="35">
        <f>IFERROR(H5/26*O5,0)</f>
        <v/>
      </c>
      <c r="Q5" s="4">
        <f>IF(O5&lt;0,"⚠ À régulariser",IF(O5=0,"Solde nul","OK"))</f>
        <v/>
      </c>
    </row>
    <row r="6">
      <c r="A6" s="8" t="inlineStr">
        <is>
          <t>EMP004</t>
        </is>
      </c>
      <c r="B6" s="9" t="inlineStr">
        <is>
          <t>Leroy</t>
        </is>
      </c>
      <c r="C6" s="9" t="inlineStr">
        <is>
          <t>Thomas</t>
        </is>
      </c>
      <c r="D6" s="9" t="inlineStr">
        <is>
          <t>Production</t>
        </is>
      </c>
      <c r="E6" s="9" t="inlineStr">
        <is>
          <t>Alternant</t>
        </is>
      </c>
      <c r="F6" s="36" t="n">
        <v>45901</v>
      </c>
      <c r="G6" s="9" t="inlineStr">
        <is>
          <t>Alternance</t>
        </is>
      </c>
      <c r="H6" s="37" t="n">
        <v>1200</v>
      </c>
      <c r="I6" s="12">
        <f>IFERROR(DATEDIF(F6,DATE(2026,12,31),"M"),0)</f>
        <v/>
      </c>
      <c r="J6" s="12" t="n">
        <v>10</v>
      </c>
      <c r="K6" s="12" t="n">
        <v>10</v>
      </c>
      <c r="L6" s="12">
        <f>MAX(0,MIN(10,J6-K6))</f>
        <v/>
      </c>
      <c r="M6" s="12">
        <f>MAX(0,ROUND(I6/12*25,0))</f>
        <v/>
      </c>
      <c r="N6" s="12" t="n">
        <v>3</v>
      </c>
      <c r="O6" s="12">
        <f>J6+L6+M6-K6-N6</f>
        <v/>
      </c>
      <c r="P6" s="37">
        <f>IFERROR(H6/26*O6,0)</f>
        <v/>
      </c>
      <c r="Q6" s="9">
        <f>IF(O6&lt;0,"⚠ À régulariser",IF(O6=0,"Solde nul","OK"))</f>
        <v/>
      </c>
    </row>
    <row r="7">
      <c r="A7" s="3" t="inlineStr">
        <is>
          <t>EMP005</t>
        </is>
      </c>
      <c r="B7" s="4" t="inlineStr">
        <is>
          <t>Moreau</t>
        </is>
      </c>
      <c r="C7" s="4" t="inlineStr">
        <is>
          <t>Camille</t>
        </is>
      </c>
      <c r="D7" s="4" t="inlineStr">
        <is>
          <t>Marketing</t>
        </is>
      </c>
      <c r="E7" s="4" t="inlineStr">
        <is>
          <t>Chef de projet</t>
        </is>
      </c>
      <c r="F7" s="34" t="n">
        <v>43850</v>
      </c>
      <c r="G7" s="4" t="inlineStr">
        <is>
          <t>CDI</t>
        </is>
      </c>
      <c r="H7" s="35" t="n">
        <v>3250</v>
      </c>
      <c r="I7" s="7">
        <f>IFERROR(DATEDIF(F7,DATE(2026,12,31),"M"),0)</f>
        <v/>
      </c>
      <c r="J7" s="7" t="n">
        <v>25</v>
      </c>
      <c r="K7" s="7" t="n">
        <v>22</v>
      </c>
      <c r="L7" s="7">
        <f>MAX(0,MIN(10,J7-K7))</f>
        <v/>
      </c>
      <c r="M7" s="7">
        <f>MAX(0,ROUND(I7/12*25,0))</f>
        <v/>
      </c>
      <c r="N7" s="7" t="n">
        <v>10</v>
      </c>
      <c r="O7" s="7">
        <f>J7+L7+M7-K7-N7</f>
        <v/>
      </c>
      <c r="P7" s="35">
        <f>IFERROR(H7/26*O7,0)</f>
        <v/>
      </c>
      <c r="Q7" s="4">
        <f>IF(O7&lt;0,"⚠ À régulariser",IF(O7=0,"Solde nul","OK"))</f>
        <v/>
      </c>
    </row>
    <row r="8">
      <c r="A8" s="8" t="inlineStr">
        <is>
          <t>EMP006</t>
        </is>
      </c>
      <c r="B8" s="9" t="inlineStr">
        <is>
          <t>Petit</t>
        </is>
      </c>
      <c r="C8" s="9" t="inlineStr">
        <is>
          <t>Nicolas</t>
        </is>
      </c>
      <c r="D8" s="9" t="inlineStr">
        <is>
          <t>IT</t>
        </is>
      </c>
      <c r="E8" s="9" t="inlineStr">
        <is>
          <t>Développeur</t>
        </is>
      </c>
      <c r="F8" s="36" t="n">
        <v>43590</v>
      </c>
      <c r="G8" s="9" t="inlineStr">
        <is>
          <t>CDI</t>
        </is>
      </c>
      <c r="H8" s="37" t="n">
        <v>3500</v>
      </c>
      <c r="I8" s="12">
        <f>IFERROR(DATEDIF(F8,DATE(2026,12,31),"M"),0)</f>
        <v/>
      </c>
      <c r="J8" s="12" t="n">
        <v>25</v>
      </c>
      <c r="K8" s="12" t="n">
        <v>25</v>
      </c>
      <c r="L8" s="12">
        <f>MAX(0,MIN(10,J8-K8))</f>
        <v/>
      </c>
      <c r="M8" s="12">
        <f>MAX(0,ROUND(I8/12*25,0))</f>
        <v/>
      </c>
      <c r="N8" s="12" t="n">
        <v>15</v>
      </c>
      <c r="O8" s="12">
        <f>J8+L8+M8-K8-N8</f>
        <v/>
      </c>
      <c r="P8" s="37">
        <f>IFERROR(H8/26*O8,0)</f>
        <v/>
      </c>
      <c r="Q8" s="9">
        <f>IF(O8&lt;0,"⚠ À régulariser",IF(O8=0,"Solde nul","OK"))</f>
        <v/>
      </c>
    </row>
    <row r="9">
      <c r="A9" s="3" t="inlineStr">
        <is>
          <t>EMP007</t>
        </is>
      </c>
      <c r="B9" s="4" t="inlineStr">
        <is>
          <t>Garnier</t>
        </is>
      </c>
      <c r="C9" s="4" t="inlineStr">
        <is>
          <t>Léa</t>
        </is>
      </c>
      <c r="D9" s="4" t="inlineStr">
        <is>
          <t>Commercial</t>
        </is>
      </c>
      <c r="E9" s="4" t="inlineStr">
        <is>
          <t>Assistante commerciale</t>
        </is>
      </c>
      <c r="F9" s="34" t="n">
        <v>45702</v>
      </c>
      <c r="G9" s="4" t="inlineStr">
        <is>
          <t>CDD</t>
        </is>
      </c>
      <c r="H9" s="35" t="n">
        <v>2100</v>
      </c>
      <c r="I9" s="7">
        <f>IFERROR(DATEDIF(F9,DATE(2026,12,31),"M"),0)</f>
        <v/>
      </c>
      <c r="J9" s="7" t="n">
        <v>25</v>
      </c>
      <c r="K9" s="7" t="n">
        <v>28</v>
      </c>
      <c r="L9" s="7">
        <f>MAX(0,MIN(10,J9-K9))</f>
        <v/>
      </c>
      <c r="M9" s="7">
        <f>MAX(0,ROUND(I9/12*25,0))</f>
        <v/>
      </c>
      <c r="N9" s="7" t="n">
        <v>6</v>
      </c>
      <c r="O9" s="7">
        <f>J9+L9+M9-K9-N9</f>
        <v/>
      </c>
      <c r="P9" s="35">
        <f>IFERROR(H9/26*O9,0)</f>
        <v/>
      </c>
      <c r="Q9" s="4">
        <f>IF(O9&lt;0,"⚠ À régulariser",IF(O9=0,"Solde nul","OK"))</f>
        <v/>
      </c>
    </row>
    <row r="10">
      <c r="A10" s="8" t="inlineStr">
        <is>
          <t>EMP008</t>
        </is>
      </c>
      <c r="B10" s="9" t="inlineStr">
        <is>
          <t>Rousseau</t>
        </is>
      </c>
      <c r="C10" s="9" t="inlineStr">
        <is>
          <t>Antoine</t>
        </is>
      </c>
      <c r="D10" s="9" t="inlineStr">
        <is>
          <t>Direction</t>
        </is>
      </c>
      <c r="E10" s="9" t="inlineStr">
        <is>
          <t>Directeur adjoint</t>
        </is>
      </c>
      <c r="F10" s="36" t="n">
        <v>42066</v>
      </c>
      <c r="G10" s="9" t="inlineStr">
        <is>
          <t>CDI</t>
        </is>
      </c>
      <c r="H10" s="37" t="n">
        <v>5200</v>
      </c>
      <c r="I10" s="12">
        <f>IFERROR(DATEDIF(F10,DATE(2026,12,31),"M"),0)</f>
        <v/>
      </c>
      <c r="J10" s="12" t="n">
        <v>30</v>
      </c>
      <c r="K10" s="12" t="n">
        <v>20</v>
      </c>
      <c r="L10" s="12">
        <f>MAX(0,MIN(10,J10-K10))</f>
        <v/>
      </c>
      <c r="M10" s="12">
        <f>MAX(0,ROUND(I10/12*25,0))</f>
        <v/>
      </c>
      <c r="N10" s="12" t="n">
        <v>20</v>
      </c>
      <c r="O10" s="12">
        <f>J10+L10+M10-K10-N10</f>
        <v/>
      </c>
      <c r="P10" s="37">
        <f>IFERROR(H10/26*O10,0)</f>
        <v/>
      </c>
      <c r="Q10" s="9">
        <f>IF(O10&lt;0,"⚠ À régulariser",IF(O10=0,"Solde nul","OK"))</f>
        <v/>
      </c>
    </row>
    <row r="11">
      <c r="A11" s="3" t="inlineStr">
        <is>
          <t>EMP009</t>
        </is>
      </c>
      <c r="B11" s="4" t="inlineStr">
        <is>
          <t>Fontaine</t>
        </is>
      </c>
      <c r="C11" s="4" t="inlineStr">
        <is>
          <t>Chloé</t>
        </is>
      </c>
      <c r="D11" s="4" t="inlineStr">
        <is>
          <t>RH</t>
        </is>
      </c>
      <c r="E11" s="4" t="inlineStr">
        <is>
          <t>Assistante RH</t>
        </is>
      </c>
      <c r="F11" s="34" t="n">
        <v>44509</v>
      </c>
      <c r="G11" s="4" t="inlineStr">
        <is>
          <t>Temps partiel</t>
        </is>
      </c>
      <c r="H11" s="35" t="n">
        <v>1800</v>
      </c>
      <c r="I11" s="7">
        <f>IFERROR(DATEDIF(F11,DATE(2026,12,31),"M"),0)</f>
        <v/>
      </c>
      <c r="J11" s="7" t="n">
        <v>20</v>
      </c>
      <c r="K11" s="7" t="n">
        <v>15</v>
      </c>
      <c r="L11" s="7">
        <f>MAX(0,MIN(10,J11-K11))</f>
        <v/>
      </c>
      <c r="M11" s="7">
        <f>MAX(0,ROUND(I11/12*25,0))</f>
        <v/>
      </c>
      <c r="N11" s="7" t="n">
        <v>4</v>
      </c>
      <c r="O11" s="7">
        <f>J11+L11+M11-K11-N11</f>
        <v/>
      </c>
      <c r="P11" s="35">
        <f>IFERROR(H11/26*O11,0)</f>
        <v/>
      </c>
      <c r="Q11" s="4">
        <f>IF(O11&lt;0,"⚠ À régulariser",IF(O11=0,"Solde nul","OK"))</f>
        <v/>
      </c>
    </row>
    <row r="12">
      <c r="A12" s="8" t="inlineStr">
        <is>
          <t>EMP010</t>
        </is>
      </c>
      <c r="B12" s="9" t="inlineStr">
        <is>
          <t>Lambert</t>
        </is>
      </c>
      <c r="C12" s="9" t="inlineStr">
        <is>
          <t>Maxime</t>
        </is>
      </c>
      <c r="D12" s="9" t="inlineStr">
        <is>
          <t>IT</t>
        </is>
      </c>
      <c r="E12" s="9" t="inlineStr">
        <is>
          <t>Chef de projet IT</t>
        </is>
      </c>
      <c r="F12" s="36" t="n">
        <v>42938</v>
      </c>
      <c r="G12" s="9" t="inlineStr">
        <is>
          <t>CDI</t>
        </is>
      </c>
      <c r="H12" s="37" t="n">
        <v>4100</v>
      </c>
      <c r="I12" s="12">
        <f>IFERROR(DATEDIF(F12,DATE(2026,12,31),"M"),0)</f>
        <v/>
      </c>
      <c r="J12" s="12" t="n">
        <v>25</v>
      </c>
      <c r="K12" s="12" t="n">
        <v>10</v>
      </c>
      <c r="L12" s="12">
        <f>MAX(0,MIN(10,J12-K12))</f>
        <v/>
      </c>
      <c r="M12" s="12">
        <f>MAX(0,ROUND(I12/12*25,0))</f>
        <v/>
      </c>
      <c r="N12" s="12" t="n">
        <v>18</v>
      </c>
      <c r="O12" s="12">
        <f>J12+L12+M12-K12-N12</f>
        <v/>
      </c>
      <c r="P12" s="37">
        <f>IFERROR(H12/26*O12,0)</f>
        <v/>
      </c>
      <c r="Q12" s="9">
        <f>IF(O12&lt;0,"⚠ À régulariser",IF(O12=0,"Solde nul","OK"))</f>
        <v/>
      </c>
    </row>
    <row r="13">
      <c r="A13" s="13" t="inlineStr">
        <is>
          <t>TOTAUX</t>
        </is>
      </c>
      <c r="B13" s="14" t="n"/>
      <c r="C13" s="14" t="n"/>
      <c r="D13" s="14" t="n"/>
      <c r="E13" s="14" t="n"/>
      <c r="F13" s="14" t="n"/>
      <c r="G13" s="14" t="n"/>
      <c r="H13" s="14" t="n"/>
      <c r="I13" s="14" t="n"/>
      <c r="J13" s="15">
        <f>SUM(J3:J12)</f>
        <v/>
      </c>
      <c r="K13" s="15">
        <f>SUM(K3:K12)</f>
        <v/>
      </c>
      <c r="L13" s="15">
        <f>SUM(L3:L12)</f>
        <v/>
      </c>
      <c r="M13" s="15">
        <f>SUM(M3:M12)</f>
        <v/>
      </c>
      <c r="N13" s="15">
        <f>SUM(N3:N12)</f>
        <v/>
      </c>
      <c r="O13" s="15">
        <f>SUM(O3:O12)</f>
        <v/>
      </c>
      <c r="P13" s="38">
        <f>SUM(P3:P12)</f>
        <v/>
      </c>
      <c r="Q13" s="14" t="n"/>
    </row>
  </sheetData>
  <mergeCells count="1">
    <mergeCell ref="A1:Q1"/>
  </mergeCells>
  <conditionalFormatting sqref="O3:O12">
    <cfRule type="expression" priority="1" dxfId="0" stopIfTrue="1">
      <formula>O3&lt;0</formula>
    </cfRule>
    <cfRule type="expression" priority="2" dxfId="1" stopIfTrue="1">
      <formula>O3&gt;0</formula>
    </cfRule>
  </conditionalFormatting>
  <conditionalFormatting sqref="Q3:Q12">
    <cfRule type="expression" priority="3" dxfId="0" stopIfTrue="1">
      <formula>Q3="⚠ À régulariser"</formula>
    </cfRule>
  </conditionalFormatting>
  <dataValidations count="1">
    <dataValidation sqref="G3:G50" showErrorMessage="1" showInputMessage="1" allowBlank="1" errorTitle="Statut invalide" error="Valeur non autorisée" type="list">
      <formula1>"CDI,CDD,Alternance,Temps partiel,Stage"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4" customWidth="1" min="3" max="3"/>
    <col width="12" customWidth="1" min="4" max="4"/>
    <col width="14" customWidth="1" min="5" max="5"/>
    <col width="13" customWidth="1" min="6" max="6"/>
    <col width="13" customWidth="1" min="7" max="7"/>
    <col width="11" customWidth="1" min="8" max="8"/>
    <col width="18" customWidth="1" min="9" max="9"/>
    <col width="14" customWidth="1" min="10" max="10"/>
    <col width="15" customWidth="1" min="11" max="11"/>
    <col width="14" customWidth="1" min="12" max="12"/>
    <col width="22" customWidth="1" min="13" max="13"/>
  </cols>
  <sheetData>
    <row r="1" ht="30" customHeight="1">
      <c r="A1" s="1" t="inlineStr">
        <is>
          <t>SUIVI DES DEMANDES DE CONGÉS —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3" t="n"/>
    </row>
    <row r="2" ht="40" customHeight="1">
      <c r="A2" s="2" t="inlineStr">
        <is>
          <t>N° demande</t>
        </is>
      </c>
      <c r="B2" s="2" t="inlineStr">
        <is>
          <t>Matricule</t>
        </is>
      </c>
      <c r="C2" s="2" t="inlineStr">
        <is>
          <t>Nom</t>
        </is>
      </c>
      <c r="D2" s="2" t="inlineStr">
        <is>
          <t>Prénom</t>
        </is>
      </c>
      <c r="E2" s="2" t="inlineStr">
        <is>
          <t>Service</t>
        </is>
      </c>
      <c r="F2" s="2" t="inlineStr">
        <is>
          <t>Date début</t>
        </is>
      </c>
      <c r="G2" s="2" t="inlineStr">
        <is>
          <t>Date fin</t>
        </is>
      </c>
      <c r="H2" s="2" t="inlineStr">
        <is>
          <t>Nb jours
ouvrés</t>
        </is>
      </c>
      <c r="I2" s="2" t="inlineStr">
        <is>
          <t>Type de congé</t>
        </is>
      </c>
      <c r="J2" s="2" t="inlineStr">
        <is>
          <t>Statut
validation</t>
        </is>
      </c>
      <c r="K2" s="2" t="inlineStr">
        <is>
          <t>Validateur</t>
        </is>
      </c>
      <c r="L2" s="2" t="inlineStr">
        <is>
          <t>Date de
demande</t>
        </is>
      </c>
      <c r="M2" s="2" t="inlineStr">
        <is>
          <t>Commentaire</t>
        </is>
      </c>
    </row>
    <row r="3">
      <c r="A3" s="4" t="inlineStr">
        <is>
          <t>DEM-001</t>
        </is>
      </c>
      <c r="B3" s="4" t="inlineStr">
        <is>
          <t>EMP001</t>
        </is>
      </c>
      <c r="C3" s="4">
        <f>IFERROR(VLOOKUP(B3,'Données congés'!$A:$Q,2,0),"")</f>
        <v/>
      </c>
      <c r="D3" s="4">
        <f>IFERROR(VLOOKUP(B3,'Données congés'!$A:$Q,3,0),"")</f>
        <v/>
      </c>
      <c r="E3" s="4">
        <f>IFERROR(VLOOKUP(B3,'Données congés'!$A:$Q,4,0),"")</f>
        <v/>
      </c>
      <c r="F3" s="34" t="n">
        <v>46188</v>
      </c>
      <c r="G3" s="34" t="n">
        <v>46199</v>
      </c>
      <c r="H3" s="7">
        <f>IFERROR(NETWORKDAYS(F3,G3),0)</f>
        <v/>
      </c>
      <c r="I3" s="4" t="inlineStr">
        <is>
          <t>Congés payés</t>
        </is>
      </c>
      <c r="J3" s="4" t="inlineStr">
        <is>
          <t>Validé</t>
        </is>
      </c>
      <c r="K3" s="4" t="inlineStr">
        <is>
          <t>P. Durand</t>
        </is>
      </c>
      <c r="L3" s="34" t="n">
        <v>46175</v>
      </c>
      <c r="M3" s="4">
        <f>IF(J3="En attente","⏳ En cours de traitement",IF(J3="Refusé","❌ Voir validateur","✅ Approuvé"))</f>
        <v/>
      </c>
    </row>
    <row r="4">
      <c r="A4" s="9" t="inlineStr">
        <is>
          <t>DEM-002</t>
        </is>
      </c>
      <c r="B4" s="9" t="inlineStr">
        <is>
          <t>EMP002</t>
        </is>
      </c>
      <c r="C4" s="9">
        <f>IFERROR(VLOOKUP(B4,'Données congés'!$A:$Q,2,0),"")</f>
        <v/>
      </c>
      <c r="D4" s="9">
        <f>IFERROR(VLOOKUP(B4,'Données congés'!$A:$Q,3,0),"")</f>
        <v/>
      </c>
      <c r="E4" s="9">
        <f>IFERROR(VLOOKUP(B4,'Données congés'!$A:$Q,4,0),"")</f>
        <v/>
      </c>
      <c r="F4" s="36" t="n">
        <v>46204</v>
      </c>
      <c r="G4" s="36" t="n">
        <v>46218</v>
      </c>
      <c r="H4" s="12">
        <f>IFERROR(NETWORKDAYS(F4,G4),0)</f>
        <v/>
      </c>
      <c r="I4" s="9" t="inlineStr">
        <is>
          <t>Congés payés</t>
        </is>
      </c>
      <c r="J4" s="9" t="inlineStr">
        <is>
          <t>Validé</t>
        </is>
      </c>
      <c r="K4" s="9" t="inlineStr">
        <is>
          <t>S. Lefebvre</t>
        </is>
      </c>
      <c r="L4" s="36" t="n">
        <v>46183</v>
      </c>
      <c r="M4" s="9">
        <f>IF(J4="En attente","⏳ En cours de traitement",IF(J4="Refusé","❌ Voir validateur","✅ Approuvé"))</f>
        <v/>
      </c>
    </row>
    <row r="5">
      <c r="A5" s="4" t="inlineStr">
        <is>
          <t>DEM-003</t>
        </is>
      </c>
      <c r="B5" s="4" t="inlineStr">
        <is>
          <t>EMP003</t>
        </is>
      </c>
      <c r="C5" s="4">
        <f>IFERROR(VLOOKUP(B5,'Données congés'!$A:$Q,2,0),"")</f>
        <v/>
      </c>
      <c r="D5" s="4">
        <f>IFERROR(VLOOKUP(B5,'Données congés'!$A:$Q,3,0),"")</f>
        <v/>
      </c>
      <c r="E5" s="4">
        <f>IFERROR(VLOOKUP(B5,'Données congés'!$A:$Q,4,0),"")</f>
        <v/>
      </c>
      <c r="F5" s="34" t="n">
        <v>46223</v>
      </c>
      <c r="G5" s="34" t="n">
        <v>46241</v>
      </c>
      <c r="H5" s="7">
        <f>IFERROR(NETWORKDAYS(F5,G5),0)</f>
        <v/>
      </c>
      <c r="I5" s="4" t="inlineStr">
        <is>
          <t>Congés payés</t>
        </is>
      </c>
      <c r="J5" s="4" t="inlineStr">
        <is>
          <t>En attente</t>
        </is>
      </c>
      <c r="K5" s="4" t="inlineStr"/>
      <c r="L5" s="34" t="n">
        <v>46191</v>
      </c>
      <c r="M5" s="4">
        <f>IF(J5="En attente","⏳ En cours de traitement",IF(J5="Refusé","❌ Voir validateur","✅ Approuvé"))</f>
        <v/>
      </c>
    </row>
    <row r="6">
      <c r="A6" s="9" t="inlineStr">
        <is>
          <t>DEM-004</t>
        </is>
      </c>
      <c r="B6" s="9" t="inlineStr">
        <is>
          <t>EMP004</t>
        </is>
      </c>
      <c r="C6" s="9">
        <f>IFERROR(VLOOKUP(B6,'Données congés'!$A:$Q,2,0),"")</f>
        <v/>
      </c>
      <c r="D6" s="9">
        <f>IFERROR(VLOOKUP(B6,'Données congés'!$A:$Q,3,0),"")</f>
        <v/>
      </c>
      <c r="E6" s="9">
        <f>IFERROR(VLOOKUP(B6,'Données congés'!$A:$Q,4,0),"")</f>
        <v/>
      </c>
      <c r="F6" s="36" t="n">
        <v>46217</v>
      </c>
      <c r="G6" s="36" t="n">
        <v>46221</v>
      </c>
      <c r="H6" s="12">
        <f>IFERROR(NETWORKDAYS(F6,G6),0)</f>
        <v/>
      </c>
      <c r="I6" s="9" t="inlineStr">
        <is>
          <t>Congés payés</t>
        </is>
      </c>
      <c r="J6" s="9" t="inlineStr">
        <is>
          <t>Validé</t>
        </is>
      </c>
      <c r="K6" s="9" t="inlineStr">
        <is>
          <t>M. Chevalier</t>
        </is>
      </c>
      <c r="L6" s="36" t="n">
        <v>46204</v>
      </c>
      <c r="M6" s="9">
        <f>IF(J6="En attente","⏳ En cours de traitement",IF(J6="Refusé","❌ Voir validateur","✅ Approuvé"))</f>
        <v/>
      </c>
    </row>
    <row r="7">
      <c r="A7" s="4" t="inlineStr">
        <is>
          <t>DEM-005</t>
        </is>
      </c>
      <c r="B7" s="4" t="inlineStr">
        <is>
          <t>EMP005</t>
        </is>
      </c>
      <c r="C7" s="4">
        <f>IFERROR(VLOOKUP(B7,'Données congés'!$A:$Q,2,0),"")</f>
        <v/>
      </c>
      <c r="D7" s="4">
        <f>IFERROR(VLOOKUP(B7,'Données congés'!$A:$Q,3,0),"")</f>
        <v/>
      </c>
      <c r="E7" s="4">
        <f>IFERROR(VLOOKUP(B7,'Données congés'!$A:$Q,4,0),"")</f>
        <v/>
      </c>
      <c r="F7" s="34" t="n">
        <v>46238</v>
      </c>
      <c r="G7" s="34" t="n">
        <v>46248</v>
      </c>
      <c r="H7" s="7">
        <f>IFERROR(NETWORKDAYS(F7,G7),0)</f>
        <v/>
      </c>
      <c r="I7" s="4" t="inlineStr">
        <is>
          <t>Congés payés</t>
        </is>
      </c>
      <c r="J7" s="4" t="inlineStr">
        <is>
          <t>En attente</t>
        </is>
      </c>
      <c r="K7" s="4" t="inlineStr"/>
      <c r="L7" s="34" t="n">
        <v>46193</v>
      </c>
      <c r="M7" s="4">
        <f>IF(J7="En attente","⏳ En cours de traitement",IF(J7="Refusé","❌ Voir validateur","✅ Approuvé"))</f>
        <v/>
      </c>
    </row>
    <row r="8">
      <c r="A8" s="9" t="inlineStr">
        <is>
          <t>DEM-006</t>
        </is>
      </c>
      <c r="B8" s="9" t="inlineStr">
        <is>
          <t>EMP006</t>
        </is>
      </c>
      <c r="C8" s="9">
        <f>IFERROR(VLOOKUP(B8,'Données congés'!$A:$Q,2,0),"")</f>
        <v/>
      </c>
      <c r="D8" s="9">
        <f>IFERROR(VLOOKUP(B8,'Données congés'!$A:$Q,3,0),"")</f>
        <v/>
      </c>
      <c r="E8" s="9">
        <f>IFERROR(VLOOKUP(B8,'Données congés'!$A:$Q,4,0),"")</f>
        <v/>
      </c>
      <c r="F8" s="36" t="n">
        <v>46167</v>
      </c>
      <c r="G8" s="36" t="n">
        <v>46171</v>
      </c>
      <c r="H8" s="12">
        <f>IFERROR(NETWORKDAYS(F8,G8),0)</f>
        <v/>
      </c>
      <c r="I8" s="9" t="inlineStr">
        <is>
          <t>Congés maladie</t>
        </is>
      </c>
      <c r="J8" s="9" t="inlineStr">
        <is>
          <t>Validé</t>
        </is>
      </c>
      <c r="K8" s="9" t="inlineStr">
        <is>
          <t>P. Durand</t>
        </is>
      </c>
      <c r="L8" s="36" t="n">
        <v>46167</v>
      </c>
      <c r="M8" s="9">
        <f>IF(J8="En attente","⏳ En cours de traitement",IF(J8="Refusé","❌ Voir validateur","✅ Approuvé"))</f>
        <v/>
      </c>
    </row>
    <row r="9">
      <c r="A9" s="4" t="inlineStr">
        <is>
          <t>DEM-007</t>
        </is>
      </c>
      <c r="B9" s="4" t="inlineStr">
        <is>
          <t>EMP007</t>
        </is>
      </c>
      <c r="C9" s="4">
        <f>IFERROR(VLOOKUP(B9,'Données congés'!$A:$Q,2,0),"")</f>
        <v/>
      </c>
      <c r="D9" s="4">
        <f>IFERROR(VLOOKUP(B9,'Données congés'!$A:$Q,3,0),"")</f>
        <v/>
      </c>
      <c r="E9" s="4">
        <f>IFERROR(VLOOKUP(B9,'Données congés'!$A:$Q,4,0),"")</f>
        <v/>
      </c>
      <c r="F9" s="34" t="n">
        <v>46244</v>
      </c>
      <c r="G9" s="34" t="n">
        <v>46255</v>
      </c>
      <c r="H9" s="7">
        <f>IFERROR(NETWORKDAYS(F9,G9),0)</f>
        <v/>
      </c>
      <c r="I9" s="4" t="inlineStr">
        <is>
          <t>Congés payés</t>
        </is>
      </c>
      <c r="J9" s="4" t="inlineStr">
        <is>
          <t>En attente</t>
        </is>
      </c>
      <c r="K9" s="4" t="inlineStr"/>
      <c r="L9" s="34" t="n">
        <v>46198</v>
      </c>
      <c r="M9" s="4">
        <f>IF(J9="En attente","⏳ En cours de traitement",IF(J9="Refusé","❌ Voir validateur","✅ Approuvé"))</f>
        <v/>
      </c>
    </row>
    <row r="10">
      <c r="A10" s="9" t="inlineStr">
        <is>
          <t>DEM-008</t>
        </is>
      </c>
      <c r="B10" s="9" t="inlineStr">
        <is>
          <t>EMP008</t>
        </is>
      </c>
      <c r="C10" s="9">
        <f>IFERROR(VLOOKUP(B10,'Données congés'!$A:$Q,2,0),"")</f>
        <v/>
      </c>
      <c r="D10" s="9">
        <f>IFERROR(VLOOKUP(B10,'Données congés'!$A:$Q,3,0),"")</f>
        <v/>
      </c>
      <c r="E10" s="9">
        <f>IFERROR(VLOOKUP(B10,'Données congés'!$A:$Q,4,0),"")</f>
        <v/>
      </c>
      <c r="F10" s="36" t="n">
        <v>46209</v>
      </c>
      <c r="G10" s="36" t="n">
        <v>46220</v>
      </c>
      <c r="H10" s="12">
        <f>IFERROR(NETWORKDAYS(F10,G10),0)</f>
        <v/>
      </c>
      <c r="I10" s="9" t="inlineStr">
        <is>
          <t>Congés payés</t>
        </is>
      </c>
      <c r="J10" s="9" t="inlineStr">
        <is>
          <t>Validé</t>
        </is>
      </c>
      <c r="K10" s="9" t="inlineStr">
        <is>
          <t>PDG</t>
        </is>
      </c>
      <c r="L10" s="36" t="n">
        <v>46188</v>
      </c>
      <c r="M10" s="9">
        <f>IF(J10="En attente","⏳ En cours de traitement",IF(J10="Refusé","❌ Voir validateur","✅ Approuvé"))</f>
        <v/>
      </c>
    </row>
    <row r="11">
      <c r="A11" s="4" t="inlineStr">
        <is>
          <t>DEM-009</t>
        </is>
      </c>
      <c r="B11" s="4" t="inlineStr">
        <is>
          <t>EMP009</t>
        </is>
      </c>
      <c r="C11" s="4">
        <f>IFERROR(VLOOKUP(B11,'Données congés'!$A:$Q,2,0),"")</f>
        <v/>
      </c>
      <c r="D11" s="4">
        <f>IFERROR(VLOOKUP(B11,'Données congés'!$A:$Q,3,0),"")</f>
        <v/>
      </c>
      <c r="E11" s="4">
        <f>IFERROR(VLOOKUP(B11,'Données congés'!$A:$Q,4,0),"")</f>
        <v/>
      </c>
      <c r="F11" s="34" t="n">
        <v>46237</v>
      </c>
      <c r="G11" s="34" t="n">
        <v>46241</v>
      </c>
      <c r="H11" s="7">
        <f>IFERROR(NETWORKDAYS(F11,G11),0)</f>
        <v/>
      </c>
      <c r="I11" s="4" t="inlineStr">
        <is>
          <t>RTT</t>
        </is>
      </c>
      <c r="J11" s="4" t="inlineStr">
        <is>
          <t>En attente</t>
        </is>
      </c>
      <c r="K11" s="4" t="inlineStr"/>
      <c r="L11" s="34" t="n">
        <v>46201</v>
      </c>
      <c r="M11" s="4">
        <f>IF(J11="En attente","⏳ En cours de traitement",IF(J11="Refusé","❌ Voir validateur","✅ Approuvé"))</f>
        <v/>
      </c>
    </row>
    <row r="12">
      <c r="A12" s="9" t="inlineStr">
        <is>
          <t>DEM-010</t>
        </is>
      </c>
      <c r="B12" s="9" t="inlineStr">
        <is>
          <t>EMP010</t>
        </is>
      </c>
      <c r="C12" s="9">
        <f>IFERROR(VLOOKUP(B12,'Données congés'!$A:$Q,2,0),"")</f>
        <v/>
      </c>
      <c r="D12" s="9">
        <f>IFERROR(VLOOKUP(B12,'Données congés'!$A:$Q,3,0),"")</f>
        <v/>
      </c>
      <c r="E12" s="9">
        <f>IFERROR(VLOOKUP(B12,'Données congés'!$A:$Q,4,0),"")</f>
        <v/>
      </c>
      <c r="F12" s="36" t="n">
        <v>46160</v>
      </c>
      <c r="G12" s="36" t="n">
        <v>46164</v>
      </c>
      <c r="H12" s="12">
        <f>IFERROR(NETWORKDAYS(F12,G12),0)</f>
        <v/>
      </c>
      <c r="I12" s="9" t="inlineStr">
        <is>
          <t>Congés payés</t>
        </is>
      </c>
      <c r="J12" s="9" t="inlineStr">
        <is>
          <t>Refusé</t>
        </is>
      </c>
      <c r="K12" s="9" t="inlineStr">
        <is>
          <t>P. Durand</t>
        </is>
      </c>
      <c r="L12" s="36" t="n">
        <v>46152</v>
      </c>
      <c r="M12" s="9">
        <f>IF(J12="En attente","⏳ En cours de traitement",IF(J12="Refusé","❌ Voir validateur","✅ Approuvé"))</f>
        <v/>
      </c>
    </row>
    <row r="13">
      <c r="A13" s="17" t="inlineStr">
        <is>
          <t>Récap.</t>
        </is>
      </c>
      <c r="B13" s="17" t="n"/>
      <c r="C13" s="17" t="n"/>
      <c r="D13" s="17" t="n"/>
      <c r="E13" s="17" t="n"/>
      <c r="F13" s="17" t="n"/>
      <c r="G13" s="17" t="n"/>
      <c r="H13" s="18">
        <f>SUM(H3:H12)</f>
        <v/>
      </c>
      <c r="I13" s="17">
        <f>COUNTIF(J3:J12,"Validé") &amp; " validées / " &amp; COUNTIF(J3:J12,"En attente") &amp; " en attente"</f>
        <v/>
      </c>
      <c r="J13" s="17" t="n"/>
      <c r="K13" s="17" t="n"/>
      <c r="L13" s="17" t="n"/>
      <c r="M13" s="17" t="n"/>
    </row>
  </sheetData>
  <mergeCells count="1">
    <mergeCell ref="A1:M1"/>
  </mergeCells>
  <conditionalFormatting sqref="J3:J20">
    <cfRule type="expression" priority="1" dxfId="2" stopIfTrue="1">
      <formula>J3="En attente"</formula>
    </cfRule>
    <cfRule type="expression" priority="2" dxfId="1" stopIfTrue="1">
      <formula>J3="Validé"</formula>
    </cfRule>
    <cfRule type="expression" priority="3" dxfId="0" stopIfTrue="1">
      <formula>J3="Refusé"</formula>
    </cfRule>
  </conditionalFormatting>
  <dataValidations count="2">
    <dataValidation sqref="I3:I50" showErrorMessage="1" showInputMessage="1" allowBlank="1" type="list">
      <formula1>"Congés payés,Congés maladie,RTT,Congés sans solde,Congés exceptionnels"</formula1>
    </dataValidation>
    <dataValidation sqref="J3:J50" showErrorMessage="1" showInputMessage="1" allowBlank="1" type="list">
      <formula1>"En attente,Validé,Refusé"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5" customWidth="1" min="3" max="3"/>
    <col width="5" customWidth="1" min="4" max="4"/>
    <col width="14" customWidth="1" min="5" max="5"/>
    <col width="16" customWidth="1" min="6" max="6"/>
    <col width="16" customWidth="1" min="7" max="7"/>
    <col width="12" customWidth="1" min="8" max="8"/>
    <col width="5" customWidth="1" min="9" max="9"/>
    <col width="14" customWidth="1" min="10" max="10"/>
    <col width="14" customWidth="1" min="11" max="11"/>
  </cols>
  <sheetData>
    <row r="1" ht="35" customHeight="1">
      <c r="A1" s="19" t="inlineStr">
        <is>
          <t>TABLEAU DE BORD — CONGÉS PAYÉS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3" t="n"/>
    </row>
    <row r="2"/>
    <row r="3">
      <c r="A3" s="20" t="inlineStr">
        <is>
          <t>INDICATEURS CLÉS</t>
        </is>
      </c>
      <c r="E3" s="20" t="inlineStr">
        <is>
          <t>RÉPARTITION PAR SERVICE</t>
        </is>
      </c>
      <c r="J3" s="20" t="inlineStr">
        <is>
          <t>STATUTS DES DEMANDES</t>
        </is>
      </c>
    </row>
    <row r="4">
      <c r="A4" s="21" t="inlineStr">
        <is>
          <t>Total congés acquis N-1 (j)</t>
        </is>
      </c>
      <c r="B4" s="22">
        <f>'Données congés'!J13</f>
        <v/>
      </c>
      <c r="E4" s="2" t="inlineStr">
        <is>
          <t>Service</t>
        </is>
      </c>
      <c r="F4" s="2" t="inlineStr">
        <is>
          <t>Congés pris N (j)</t>
        </is>
      </c>
      <c r="G4" s="2" t="inlineStr">
        <is>
          <t>Solde restant (j)</t>
        </is>
      </c>
      <c r="H4" s="2" t="inlineStr">
        <is>
          <t>Nb salariés</t>
        </is>
      </c>
      <c r="J4" s="2" t="inlineStr">
        <is>
          <t>Statut</t>
        </is>
      </c>
      <c r="K4" s="2" t="inlineStr">
        <is>
          <t>Nb demandes</t>
        </is>
      </c>
    </row>
    <row r="5">
      <c r="A5" s="21" t="inlineStr">
        <is>
          <t>Total congés pris N-1 (j)</t>
        </is>
      </c>
      <c r="B5" s="22">
        <f>'Données congés'!K13</f>
        <v/>
      </c>
      <c r="E5" s="23" t="inlineStr">
        <is>
          <t>RH</t>
        </is>
      </c>
      <c r="F5" s="24">
        <f>SUMIF('Données congés'!$D$3:$D$12,E5,'Données congés'!$N$3:$N$12)</f>
        <v/>
      </c>
      <c r="G5" s="24">
        <f>SUMIF('Données congés'!$D$3:$D$12,E5,'Données congés'!$O$3:$O$12)</f>
        <v/>
      </c>
      <c r="H5" s="24">
        <f>COUNTIF('Données congés'!$D$3:$D$12,E5)</f>
        <v/>
      </c>
      <c r="J5" s="23" t="inlineStr">
        <is>
          <t>Validé</t>
        </is>
      </c>
      <c r="K5" s="24">
        <f>COUNTIF('Demandes de congés'!$J$3:$J$20,J5)</f>
        <v/>
      </c>
    </row>
    <row r="6">
      <c r="A6" s="21" t="inlineStr">
        <is>
          <t>Total report disponibles (j)</t>
        </is>
      </c>
      <c r="B6" s="22">
        <f>'Données congés'!L13</f>
        <v/>
      </c>
      <c r="E6" s="25" t="inlineStr">
        <is>
          <t>Commercial</t>
        </is>
      </c>
      <c r="F6" s="26">
        <f>SUMIF('Données congés'!$D$3:$D$12,E6,'Données congés'!$N$3:$N$12)</f>
        <v/>
      </c>
      <c r="G6" s="26">
        <f>SUMIF('Données congés'!$D$3:$D$12,E6,'Données congés'!$O$3:$O$12)</f>
        <v/>
      </c>
      <c r="H6" s="26">
        <f>COUNTIF('Données congés'!$D$3:$D$12,E6)</f>
        <v/>
      </c>
      <c r="J6" s="25" t="inlineStr">
        <is>
          <t>En attente</t>
        </is>
      </c>
      <c r="K6" s="26">
        <f>COUNTIF('Demandes de congés'!$J$3:$J$20,J6)</f>
        <v/>
      </c>
    </row>
    <row r="7">
      <c r="A7" s="21" t="inlineStr">
        <is>
          <t>Total congés acquis N (j)</t>
        </is>
      </c>
      <c r="B7" s="22">
        <f>'Données congés'!M13</f>
        <v/>
      </c>
      <c r="E7" s="23" t="inlineStr">
        <is>
          <t>Finance</t>
        </is>
      </c>
      <c r="F7" s="24">
        <f>SUMIF('Données congés'!$D$3:$D$12,E7,'Données congés'!$N$3:$N$12)</f>
        <v/>
      </c>
      <c r="G7" s="24">
        <f>SUMIF('Données congés'!$D$3:$D$12,E7,'Données congés'!$O$3:$O$12)</f>
        <v/>
      </c>
      <c r="H7" s="24">
        <f>COUNTIF('Données congés'!$D$3:$D$12,E7)</f>
        <v/>
      </c>
      <c r="J7" s="23" t="inlineStr">
        <is>
          <t>Refusé</t>
        </is>
      </c>
      <c r="K7" s="24">
        <f>COUNTIF('Demandes de congés'!$J$3:$J$20,J7)</f>
        <v/>
      </c>
    </row>
    <row r="8">
      <c r="A8" s="21" t="inlineStr">
        <is>
          <t>Total congés pris N (j)</t>
        </is>
      </c>
      <c r="B8" s="22">
        <f>'Données congés'!N13</f>
        <v/>
      </c>
      <c r="E8" s="25" t="inlineStr">
        <is>
          <t>Production</t>
        </is>
      </c>
      <c r="F8" s="26">
        <f>SUMIF('Données congés'!$D$3:$D$12,E8,'Données congés'!$N$3:$N$12)</f>
        <v/>
      </c>
      <c r="G8" s="26">
        <f>SUMIF('Données congés'!$D$3:$D$12,E8,'Données congés'!$O$3:$O$12)</f>
        <v/>
      </c>
      <c r="H8" s="26">
        <f>COUNTIF('Données congés'!$D$3:$D$12,E8)</f>
        <v/>
      </c>
    </row>
    <row r="9">
      <c r="A9" s="21" t="inlineStr">
        <is>
          <t>Total soldes restants (j)</t>
        </is>
      </c>
      <c r="B9" s="22">
        <f>'Données congés'!O13</f>
        <v/>
      </c>
      <c r="E9" s="23" t="inlineStr">
        <is>
          <t>Marketing</t>
        </is>
      </c>
      <c r="F9" s="24">
        <f>SUMIF('Données congés'!$D$3:$D$12,E9,'Données congés'!$N$3:$N$12)</f>
        <v/>
      </c>
      <c r="G9" s="24">
        <f>SUMIF('Données congés'!$D$3:$D$12,E9,'Données congés'!$O$3:$O$12)</f>
        <v/>
      </c>
      <c r="H9" s="24">
        <f>COUNTIF('Données congés'!$D$3:$D$12,E9)</f>
        <v/>
      </c>
    </row>
    <row r="10">
      <c r="A10" s="21" t="inlineStr">
        <is>
          <t>Total indemnités estimées €</t>
        </is>
      </c>
      <c r="B10" s="39">
        <f>'Données congés'!P13</f>
        <v/>
      </c>
      <c r="E10" s="25" t="inlineStr">
        <is>
          <t>IT</t>
        </is>
      </c>
      <c r="F10" s="26">
        <f>SUMIF('Données congés'!$D$3:$D$12,E10,'Données congés'!$N$3:$N$12)</f>
        <v/>
      </c>
      <c r="G10" s="26">
        <f>SUMIF('Données congés'!$D$3:$D$12,E10,'Données congés'!$O$3:$O$12)</f>
        <v/>
      </c>
      <c r="H10" s="26">
        <f>COUNTIF('Données congés'!$D$3:$D$12,E10)</f>
        <v/>
      </c>
    </row>
    <row r="11">
      <c r="A11" s="21" t="inlineStr">
        <is>
          <t>Nb demandes En attente</t>
        </is>
      </c>
      <c r="B11" s="22">
        <f>COUNTIF('Demandes de congés'!J3:J12,"En attente")</f>
        <v/>
      </c>
      <c r="E11" s="23" t="inlineStr">
        <is>
          <t>Direction</t>
        </is>
      </c>
      <c r="F11" s="24">
        <f>SUMIF('Données congés'!$D$3:$D$12,E11,'Données congés'!$N$3:$N$12)</f>
        <v/>
      </c>
      <c r="G11" s="24">
        <f>SUMIF('Données congés'!$D$3:$D$12,E11,'Données congés'!$O$3:$O$12)</f>
        <v/>
      </c>
      <c r="H11" s="24">
        <f>COUNTIF('Données congés'!$D$3:$D$12,E11)</f>
        <v/>
      </c>
    </row>
    <row r="12">
      <c r="A12" s="21" t="inlineStr">
        <is>
          <t>Nb demandes Validées</t>
        </is>
      </c>
      <c r="B12" s="22">
        <f>COUNTIF('Demandes de congés'!J3:J12,"Validé")</f>
        <v/>
      </c>
    </row>
    <row r="13">
      <c r="A13" s="21" t="inlineStr">
        <is>
          <t>Nb demandes Refusées</t>
        </is>
      </c>
      <c r="B13" s="22">
        <f>COUNTIF('Demandes de congés'!J3:J12,"Refusé")</f>
        <v/>
      </c>
    </row>
    <row r="14">
      <c r="A14" s="21" t="inlineStr">
        <is>
          <t>Nb salariés solde négatif</t>
        </is>
      </c>
      <c r="B14" s="22">
        <f>COUNTIF('Données congés'!O3:O12,"&lt;0")</f>
        <v/>
      </c>
    </row>
    <row r="15">
      <c r="A15" s="21" t="inlineStr">
        <is>
          <t>Taux moyen consommation (%)</t>
        </is>
      </c>
      <c r="B15" s="40">
        <f>IFERROR(ROUND('Données congés'!N13/'Données congés'!M13*100,1),0)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5" customHeight="1">
      <c r="A1" s="1" t="inlineStr">
        <is>
          <t>GUIDE D'UTILISATION — CALCUL DES CONGÉS PAYÉS</t>
        </is>
      </c>
      <c r="B1" s="33" t="n"/>
    </row>
    <row r="2" ht="22" customHeight="1">
      <c r="A2" s="29" t="inlineStr">
        <is>
          <t>PRÉSENTATION GÉNÉRALE</t>
        </is>
      </c>
      <c r="B2" s="33" t="n"/>
    </row>
    <row r="3" ht="21" customHeight="1">
      <c r="A3" s="30" t="inlineStr">
        <is>
          <t>Objectif du classeur</t>
        </is>
      </c>
      <c r="B3" s="31" t="inlineStr">
        <is>
          <t>Ce fichier permet de gérer les congés payés des salariés : suivi des acquisitions, des prises de congés, des soldes et des demandes en cours.</t>
        </is>
      </c>
    </row>
    <row r="4" ht="21" customHeight="1">
      <c r="A4" s="30" t="inlineStr">
        <is>
          <t>Feuilles disponibles</t>
        </is>
      </c>
      <c r="B4" s="31" t="inlineStr">
        <is>
          <t>1. Données congés — Saisie et calcul | 2. Demandes de congés — Suivi | 3. Synthèse — Tableau de bord | 4. Guide — Ce document</t>
        </is>
      </c>
    </row>
    <row r="5" ht="22" customHeight="1">
      <c r="A5" s="29" t="inlineStr">
        <is>
          <t>FEUILLE 1 — DONNÉES CONGÉS</t>
        </is>
      </c>
      <c r="B5" s="33" t="n"/>
    </row>
    <row r="6" ht="96" customHeight="1">
      <c r="A6" s="30" t="inlineStr">
        <is>
          <t>Colonnes à saisir manuellement</t>
        </is>
      </c>
      <c r="B6" s="31" t="inlineStr">
        <is>
          <t>• Matricule, Nom, Prénom, Service, Poste : identité du salarié
• Date d'entrée : au format JJ/MM/AAAA
• Statut contrat : choisir dans la liste déroulante (CDI, CDD, Alternance, Temps partiel, Stage)
• Salaire brut mensuel : montant en euros
• Congés acquis N-1, Congés pris N-1 : valeurs de l'année précédente
• Congés pris N en cours : à mettre à jour régulièrement</t>
        </is>
      </c>
    </row>
    <row r="7" ht="96" customHeight="1">
      <c r="A7" s="30" t="inlineStr">
        <is>
          <t>Colonnes calculées automatiquement</t>
        </is>
      </c>
      <c r="B7" s="31" t="inlineStr">
        <is>
          <t>• Ancienneté (mois) : calculée depuis la date d'entrée jusqu'au 31/12/2026
• Report disponibles : MAX(0, MIN(10, Acquis N-1 - Pris N-1))
• Congés acquis N en cours : proratisé sur 25 jours/an selon ancienneté
• Solde congés : Acquis N-1 + Report + Acquis N - Pris N-1 - Pris N
• Indemnité estimée : Salaire brut / 26 × Solde congés
• Commentaire : OK, Solde nul ou ⚠ À régulariser</t>
        </is>
      </c>
    </row>
    <row r="8" ht="21" customHeight="1">
      <c r="A8" s="30" t="inlineStr">
        <is>
          <t>Règles de report</t>
        </is>
      </c>
      <c r="B8" s="31" t="inlineStr">
        <is>
          <t>Le report est limité à 10 jours maximum (règle interne). Au-delà, les jours sont perdus. Les congés N-1 non pris sont prioritaires sur les congés de l'année en cours.</t>
        </is>
      </c>
    </row>
    <row r="9" ht="22" customHeight="1">
      <c r="A9" s="29" t="inlineStr">
        <is>
          <t>FEUILLE 2 — DEMANDES DE CONGÉS</t>
        </is>
      </c>
      <c r="B9" s="33" t="n"/>
    </row>
    <row r="10" ht="111" customHeight="1">
      <c r="A10" s="30" t="inlineStr">
        <is>
          <t>Comment enregistrer une demande</t>
        </is>
      </c>
      <c r="B10" s="31" t="inlineStr">
        <is>
          <t>1. Saisir le N° demande (ex : DEM-011)
2. Renseigner le Matricule : le Nom, Prénom et Service se remplissent automatiquement par VLOOKUP
3. Indiquer Date début et Date fin au format JJ/MM/AAAA
4. Le nombre de jours ouvrés est calculé automatiquement (hors week-ends)
5. Choisir le Type de congé dans la liste déroulante
6. Renseigner le Statut validation : En attente / Validé / Refusé
7. Indiquer le nom du Validateur</t>
        </is>
      </c>
    </row>
    <row r="11" ht="21" customHeight="1">
      <c r="A11" s="30" t="inlineStr">
        <is>
          <t>Types de congés disponibles</t>
        </is>
      </c>
      <c r="B11" s="31" t="inlineStr">
        <is>
          <t>Congés payés | Congés maladie | RTT | Congés sans solde | Congés exceptionnels</t>
        </is>
      </c>
    </row>
    <row r="12" ht="51" customHeight="1">
      <c r="A12" s="30" t="inlineStr">
        <is>
          <t>Statuts de validation</t>
        </is>
      </c>
      <c r="B12" s="31" t="inlineStr">
        <is>
          <t>⏳ En attente : demande déposée, en cours d'examen
✅ Validé : demande approuvée par le responsable
❌ Refusé : demande rejetée — contacter le validateur</t>
        </is>
      </c>
    </row>
    <row r="13" ht="22" customHeight="1">
      <c r="A13" s="29" t="inlineStr">
        <is>
          <t>FEUILLE 3 — SYNTHÈSE</t>
        </is>
      </c>
      <c r="B13" s="33" t="n"/>
    </row>
    <row r="14" ht="21" customHeight="1">
      <c r="A14" s="30" t="inlineStr">
        <is>
          <t>Indicateurs clés</t>
        </is>
      </c>
      <c r="B14" s="31" t="inlineStr">
        <is>
          <t>Le tableau de bord affiche automatiquement les totaux et moyennes de la feuille Données congés ainsi que les comptages de demandes par statut. Aucune saisie n'est requise sur cette feuille.</t>
        </is>
      </c>
    </row>
    <row r="15" ht="36" customHeight="1">
      <c r="A15" s="30" t="inlineStr">
        <is>
          <t>Graphiques</t>
        </is>
      </c>
      <c r="B15" s="31" t="inlineStr">
        <is>
          <t>• Histogramme : compare les congés pris et les soldes restants par service
• Camembert : montre la répartition des demandes par statut (Validé / En attente / Refusé)</t>
        </is>
      </c>
    </row>
    <row r="16" ht="22" customHeight="1">
      <c r="A16" s="29" t="inlineStr">
        <is>
          <t>RÈGLES MÉTIER</t>
        </is>
      </c>
      <c r="B16" s="33" t="n"/>
    </row>
    <row r="17" ht="21" customHeight="1">
      <c r="A17" s="30" t="inlineStr">
        <is>
          <t>Calcul des congés acquis</t>
        </is>
      </c>
      <c r="B17" s="31" t="inlineStr">
        <is>
          <t>Référence légale française : 2,5 jours ouvrables par mois travaillé, soit 25 jours pour une année complète (base ouvrée). Les alternants et temps partiels peuvent avoir des droits proratisés.</t>
        </is>
      </c>
    </row>
    <row r="18" ht="21" customHeight="1">
      <c r="A18" s="30" t="inlineStr">
        <is>
          <t>Indemnité de congés payés</t>
        </is>
      </c>
      <c r="B18" s="31" t="inlineStr">
        <is>
          <t>Estimation basée sur la règle du maintien de salaire : Salaire brut / 26 jours ouvrés × Nombre de jours de congés. La règle du 1/10e peut s'avérer plus favorable selon la situation.</t>
        </is>
      </c>
    </row>
    <row r="19" ht="21" customHeight="1">
      <c r="A19" s="30" t="inlineStr">
        <is>
          <t>Alerte solde négatif</t>
        </is>
      </c>
      <c r="B19" s="31" t="inlineStr">
        <is>
          <t>Un solde négatif (cellule rouge dans colonne Solde) indique que le salarié a pris plus de congés que ses droits acquis. Ce cas doit être régularisé en paie (retenue sur salaire ou remboursement).</t>
        </is>
      </c>
    </row>
    <row r="20" ht="22" customHeight="1">
      <c r="A20" s="29" t="inlineStr">
        <is>
          <t>CONTACTS &amp; MISE À JOUR</t>
        </is>
      </c>
      <c r="B20" s="33" t="n"/>
    </row>
    <row r="21" ht="21" customHeight="1">
      <c r="A21" s="30" t="inlineStr">
        <is>
          <t>Responsable RH</t>
        </is>
      </c>
      <c r="B21" s="31" t="inlineStr">
        <is>
          <t>Pour toute question sur ce fichier, contacter le service RH. Ce fichier doit être mis à jour mensuellement, au plus tard le 5 de chaque mois.</t>
        </is>
      </c>
    </row>
    <row r="22" ht="21" customHeight="1">
      <c r="A22" s="30" t="inlineStr">
        <is>
          <t>Version</t>
        </is>
      </c>
      <c r="B22" s="31" t="inlineStr">
        <is>
          <t>Version 1.0 — Juillet 2026 — Usage interne uniquement</t>
        </is>
      </c>
    </row>
  </sheetData>
  <mergeCells count="7">
    <mergeCell ref="A1:B1"/>
    <mergeCell ref="A2:B2"/>
    <mergeCell ref="A5:B5"/>
    <mergeCell ref="A9:B9"/>
    <mergeCell ref="A13:B13"/>
    <mergeCell ref="A16:B16"/>
    <mergeCell ref="A20:B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2026-07-01T10:25:19Z</dcterms:created>
  <dcterms:modified xmlns:dcterms="http://purl.org/dc/terms/" xmlns:xsi="http://www.w3.org/2001/XMLSchema-instance" xsi:type="dcterms:W3CDTF">2026-07-01T10:25:19Z</dcterms:modified>
</cp:coreProperties>
</file>