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vis_Travaux" sheetId="1" state="visible" r:id="rId1"/>
    <sheet xmlns:r="http://schemas.openxmlformats.org/officeDocument/2006/relationships" name="Bordereau_Récap" sheetId="2" state="visible" r:id="rId2"/>
    <sheet xmlns:r="http://schemas.openxmlformats.org/officeDocument/2006/relationships" name="Paramètres_Tarifs" sheetId="3" state="visible" r:id="rId3"/>
    <sheet xmlns:r="http://schemas.openxmlformats.org/officeDocument/2006/relationships" name="Mode_d_emplo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 ##0.00 [$€-40C]"/>
    <numFmt numFmtId="165" formatCode="0.0%"/>
  </numFmts>
  <fonts count="13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16A34A"/>
    </font>
    <font>
      <name val="Calibri"/>
      <b val="1"/>
      <color rgb="00DC2626"/>
    </font>
    <font>
      <name val="Calibri"/>
      <b val="1"/>
      <sz val="10"/>
    </font>
    <font>
      <name val="Calibri"/>
      <b val="1"/>
      <color rgb="00FFFFFF"/>
      <sz val="10"/>
    </font>
    <font>
      <name val="Calibri"/>
      <b val="1"/>
      <color rgb="0016A34A"/>
      <sz val="11"/>
    </font>
    <font>
      <name val="Calibri"/>
      <b val="1"/>
      <color rgb="00DC2626"/>
      <sz val="11"/>
    </font>
    <font>
      <name val="Calibri"/>
      <b val="1"/>
      <color rgb="001E293B"/>
      <sz val="11"/>
    </font>
    <font>
      <name val="Calibri"/>
      <b val="1"/>
      <color rgb="00C8102E"/>
      <sz val="12"/>
    </font>
    <font>
      <name val="Calibri"/>
      <b val="1"/>
      <color rgb="00C8102E"/>
      <sz val="11"/>
    </font>
  </fonts>
  <fills count="12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0F172A"/>
      </patternFill>
    </fill>
    <fill>
      <patternFill patternType="solid">
        <fgColor rgb="00E2E8F0"/>
      </patternFill>
    </fill>
    <fill>
      <patternFill patternType="solid">
        <fgColor rgb="00F0FDFA"/>
      </patternFill>
    </fill>
    <fill>
      <patternFill patternType="solid">
        <fgColor rgb="000F766E"/>
      </patternFill>
    </fill>
    <fill>
      <patternFill patternType="solid">
        <fgColor rgb="00FEF9C3"/>
      </patternFill>
    </fill>
    <fill>
      <patternFill patternType="solid">
        <fgColor rgb="00FFF1F2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8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4" fontId="3" fillId="4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right" vertical="center"/>
    </xf>
    <xf numFmtId="10" fontId="3" fillId="4" borderId="1" applyAlignment="1" pivotButton="0" quotePrefix="0" xfId="0">
      <alignment horizontal="center" vertical="center" wrapText="1"/>
    </xf>
    <xf numFmtId="164" fontId="4" fillId="3" borderId="1" applyAlignment="1" pivotButton="0" quotePrefix="0" xfId="0">
      <alignment horizontal="right" vertical="center"/>
    </xf>
    <xf numFmtId="164" fontId="5" fillId="3" borderId="1" applyAlignment="1" pivotButton="0" quotePrefix="0" xfId="0">
      <alignment horizontal="right" vertical="center"/>
    </xf>
    <xf numFmtId="164" fontId="3" fillId="3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4" fontId="4" fillId="5" borderId="1" applyAlignment="1" pivotButton="0" quotePrefix="0" xfId="0">
      <alignment horizontal="right" vertical="center"/>
    </xf>
    <xf numFmtId="164" fontId="5" fillId="5" borderId="1" applyAlignment="1" pivotButton="0" quotePrefix="0" xfId="0">
      <alignment horizontal="right" vertical="center"/>
    </xf>
    <xf numFmtId="164" fontId="3" fillId="5" borderId="1" applyAlignment="1" pivotButton="0" quotePrefix="0" xfId="0">
      <alignment horizontal="right" vertical="center"/>
    </xf>
    <xf numFmtId="0" fontId="2" fillId="6" borderId="1" applyAlignment="1" pivotButton="0" quotePrefix="0" xfId="0">
      <alignment horizontal="center" vertical="center" wrapText="1"/>
    </xf>
    <xf numFmtId="0" fontId="0" fillId="6" borderId="1" pivotButton="0" quotePrefix="0" xfId="0"/>
    <xf numFmtId="164" fontId="2" fillId="6" borderId="1" applyAlignment="1" pivotButton="0" quotePrefix="0" xfId="0">
      <alignment horizontal="right" vertical="center"/>
    </xf>
    <xf numFmtId="0" fontId="6" fillId="7" borderId="1" applyAlignment="1" pivotButton="0" quotePrefix="0" xfId="0">
      <alignment horizontal="right" vertical="center"/>
    </xf>
    <xf numFmtId="164" fontId="6" fillId="7" borderId="1" applyAlignment="1" pivotButton="0" quotePrefix="0" xfId="0">
      <alignment horizontal="right" vertical="center"/>
    </xf>
    <xf numFmtId="0" fontId="0" fillId="7" borderId="1" pivotButton="0" quotePrefix="0" xfId="0"/>
    <xf numFmtId="0" fontId="6" fillId="7" borderId="1" applyAlignment="1" pivotButton="0" quotePrefix="0" xfId="0">
      <alignment horizontal="center" vertical="center" wrapText="1"/>
    </xf>
    <xf numFmtId="10" fontId="6" fillId="7" borderId="1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right" vertical="center"/>
    </xf>
    <xf numFmtId="164" fontId="8" fillId="8" borderId="1" applyAlignment="1" pivotButton="0" quotePrefix="0" xfId="0">
      <alignment horizontal="right" vertical="center"/>
    </xf>
    <xf numFmtId="0" fontId="0" fillId="0" borderId="1" pivotButton="0" quotePrefix="0" xfId="0"/>
    <xf numFmtId="164" fontId="9" fillId="8" borderId="1" applyAlignment="1" pivotButton="0" quotePrefix="0" xfId="0">
      <alignment horizontal="right" vertical="center"/>
    </xf>
    <xf numFmtId="164" fontId="10" fillId="8" borderId="1" applyAlignment="1" pivotButton="0" quotePrefix="0" xfId="0">
      <alignment horizontal="right" vertical="center"/>
    </xf>
    <xf numFmtId="0" fontId="7" fillId="9" borderId="1" applyAlignment="1" pivotButton="0" quotePrefix="0" xfId="0">
      <alignment horizontal="right" vertical="center"/>
    </xf>
    <xf numFmtId="10" fontId="10" fillId="8" borderId="1" applyAlignment="1" pivotButton="0" quotePrefix="0" xfId="0">
      <alignment horizontal="right" vertical="center"/>
    </xf>
    <xf numFmtId="3" fontId="2" fillId="2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left" vertical="center" wrapText="1"/>
    </xf>
    <xf numFmtId="10" fontId="3" fillId="3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left" vertical="center" wrapText="1"/>
    </xf>
    <xf numFmtId="10" fontId="3" fillId="5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2" fontId="3" fillId="4" borderId="1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left" vertical="center" wrapText="1"/>
    </xf>
    <xf numFmtId="0" fontId="6" fillId="4" borderId="1" applyAlignment="1" pivotButton="0" quotePrefix="0" xfId="0">
      <alignment horizontal="left" vertical="center" wrapText="1"/>
    </xf>
    <xf numFmtId="0" fontId="6" fillId="8" borderId="1" applyAlignment="1" pivotButton="0" quotePrefix="0" xfId="0">
      <alignment horizontal="left" vertical="center" wrapText="1"/>
    </xf>
    <xf numFmtId="164" fontId="4" fillId="8" borderId="1" applyAlignment="1" pivotButton="0" quotePrefix="0" xfId="0">
      <alignment horizontal="right" vertical="center"/>
    </xf>
    <xf numFmtId="165" fontId="3" fillId="8" borderId="1" applyAlignment="1" pivotButton="0" quotePrefix="0" xfId="0">
      <alignment horizontal="center" vertical="center" wrapText="1"/>
    </xf>
    <xf numFmtId="0" fontId="6" fillId="10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center" vertical="center"/>
    </xf>
    <xf numFmtId="0" fontId="12" fillId="0" borderId="1" applyAlignment="1" pivotButton="0" quotePrefix="0" xfId="0">
      <alignment horizontal="center" vertical="center"/>
    </xf>
    <xf numFmtId="0" fontId="12" fillId="11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TTC par Lot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'Bordereau_Récap'!E7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'Bordereau_Récap'!$A$8:$A$17</f>
            </numRef>
          </cat>
          <val>
            <numRef>
              <f>'Bordereau_Récap'!$E$8:$E$17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TTC (€)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Lot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Part de chaque lot dans le TTC total</a:t>
            </a:r>
          </a:p>
        </rich>
      </tx>
    </title>
    <plotArea>
      <pieChart>
        <varyColors val="1"/>
        <ser>
          <idx val="0"/>
          <order val="0"/>
          <tx>
            <strRef>
              <f>'Bordereau_Récap'!E7</f>
            </strRef>
          </tx>
          <spPr>
            <a:ln xmlns:a="http://schemas.openxmlformats.org/drawingml/2006/main">
              <a:prstDash val="solid"/>
            </a:ln>
          </spPr>
          <cat>
            <numRef>
              <f>'Bordereau_Récap'!$A$8:$A$17</f>
            </numRef>
          </cat>
          <val>
            <numRef>
              <f>'Bordereau_Récap'!$E$8:$E$17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19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19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18" customWidth="1" min="2" max="2"/>
    <col width="30" customWidth="1" min="3" max="3"/>
    <col width="8" customWidth="1" min="4" max="4"/>
    <col width="9" customWidth="1" min="5" max="5"/>
    <col width="13" customWidth="1" min="6" max="6"/>
    <col width="9" customWidth="1" min="7" max="7"/>
    <col width="8" customWidth="1" min="8" max="8"/>
    <col width="14" customWidth="1" min="9" max="9"/>
    <col width="13" customWidth="1" min="10" max="10"/>
    <col width="12" customWidth="1" min="11" max="11"/>
    <col width="14" customWidth="1" min="12" max="12"/>
    <col width="14" customWidth="1" min="13" max="13"/>
    <col width="22" customWidth="1" min="14" max="14"/>
  </cols>
  <sheetData>
    <row r="1" ht="30" customHeight="1">
      <c r="A1" s="1" t="inlineStr">
        <is>
          <t>CHIFFRAGE DE TRAVAUX — DEVIS DÉTAILLÉ</t>
        </is>
      </c>
    </row>
    <row r="2" ht="36" customHeight="1">
      <c r="A2" s="2" t="inlineStr">
        <is>
          <t>N° ligne</t>
        </is>
      </c>
      <c r="B2" s="2" t="inlineStr">
        <is>
          <t>Lot / Poste</t>
        </is>
      </c>
      <c r="C2" s="2" t="inlineStr">
        <is>
          <t>Désignation</t>
        </is>
      </c>
      <c r="D2" s="2" t="inlineStr">
        <is>
          <t>Unité</t>
        </is>
      </c>
      <c r="E2" s="2" t="inlineStr">
        <is>
          <t>Quantité</t>
        </is>
      </c>
      <c r="F2" s="2" t="inlineStr">
        <is>
          <t>PU HT (€)</t>
        </is>
      </c>
      <c r="G2" s="2" t="inlineStr">
        <is>
          <t>Remise %</t>
        </is>
      </c>
      <c r="H2" s="2" t="inlineStr">
        <is>
          <t>TVA %</t>
        </is>
      </c>
      <c r="I2" s="2" t="inlineStr">
        <is>
          <t>Montant HT (€)</t>
        </is>
      </c>
      <c r="J2" s="2" t="inlineStr">
        <is>
          <t>Remise (€)</t>
        </is>
      </c>
      <c r="K2" s="2" t="inlineStr">
        <is>
          <t>TVA (€)</t>
        </is>
      </c>
      <c r="L2" s="2" t="inlineStr">
        <is>
          <t>TTC (€)</t>
        </is>
      </c>
      <c r="M2" s="2" t="inlineStr">
        <is>
          <t>Statut</t>
        </is>
      </c>
      <c r="N2" s="2" t="inlineStr">
        <is>
          <t>Observations</t>
        </is>
      </c>
    </row>
    <row r="3" ht="20" customHeight="1">
      <c r="A3" s="3" t="n">
        <v>1</v>
      </c>
      <c r="B3" s="4" t="inlineStr">
        <is>
          <t>Démolition</t>
        </is>
      </c>
      <c r="C3" s="4" t="inlineStr">
        <is>
          <t>Dépose cloison plâtre</t>
        </is>
      </c>
      <c r="D3" s="3" t="inlineStr">
        <is>
          <t>m²</t>
        </is>
      </c>
      <c r="E3" s="5" t="n">
        <v>12</v>
      </c>
      <c r="F3" s="6" t="n">
        <v>35</v>
      </c>
      <c r="G3" s="7" t="n">
        <v>0.05</v>
      </c>
      <c r="H3" s="7" t="n">
        <v>0.1</v>
      </c>
      <c r="I3" s="8">
        <f>E3*F3</f>
        <v/>
      </c>
      <c r="J3" s="9">
        <f>I3*G3</f>
        <v/>
      </c>
      <c r="K3" s="10">
        <f>(I3-J3)*H3</f>
        <v/>
      </c>
      <c r="L3" s="8">
        <f>I3-J3+K3</f>
        <v/>
      </c>
      <c r="M3" s="11" t="inlineStr">
        <is>
          <t>Validé</t>
        </is>
      </c>
      <c r="N3" s="4" t="inlineStr">
        <is>
          <t>Mur RDC salon</t>
        </is>
      </c>
    </row>
    <row r="4" ht="20" customHeight="1">
      <c r="A4" s="12" t="n">
        <v>2</v>
      </c>
      <c r="B4" s="13" t="inlineStr">
        <is>
          <t>Cloison</t>
        </is>
      </c>
      <c r="C4" s="13" t="inlineStr">
        <is>
          <t>Pose placo double rail</t>
        </is>
      </c>
      <c r="D4" s="12" t="inlineStr">
        <is>
          <t>m²</t>
        </is>
      </c>
      <c r="E4" s="5" t="n">
        <v>20</v>
      </c>
      <c r="F4" s="6" t="n">
        <v>42</v>
      </c>
      <c r="G4" s="7" t="n">
        <v>0</v>
      </c>
      <c r="H4" s="7" t="n">
        <v>0.1</v>
      </c>
      <c r="I4" s="14">
        <f>E4*F4</f>
        <v/>
      </c>
      <c r="J4" s="15">
        <f>I4*G4</f>
        <v/>
      </c>
      <c r="K4" s="16">
        <f>(I4-J4)*H4</f>
        <v/>
      </c>
      <c r="L4" s="14">
        <f>I4-J4+K4</f>
        <v/>
      </c>
      <c r="M4" s="11" t="inlineStr">
        <is>
          <t>Validé</t>
        </is>
      </c>
      <c r="N4" s="13" t="inlineStr">
        <is>
          <t>Séparation cuisine</t>
        </is>
      </c>
    </row>
    <row r="5" ht="20" customHeight="1">
      <c r="A5" s="3" t="n">
        <v>3</v>
      </c>
      <c r="B5" s="4" t="inlineStr">
        <is>
          <t>Enduit</t>
        </is>
      </c>
      <c r="C5" s="4" t="inlineStr">
        <is>
          <t>Enduit et bandes placo</t>
        </is>
      </c>
      <c r="D5" s="3" t="inlineStr">
        <is>
          <t>m²</t>
        </is>
      </c>
      <c r="E5" s="5" t="n">
        <v>32</v>
      </c>
      <c r="F5" s="6" t="n">
        <v>18</v>
      </c>
      <c r="G5" s="7" t="n">
        <v>0.03</v>
      </c>
      <c r="H5" s="7" t="n">
        <v>0.1</v>
      </c>
      <c r="I5" s="8">
        <f>E5*F5</f>
        <v/>
      </c>
      <c r="J5" s="9">
        <f>I5*G5</f>
        <v/>
      </c>
      <c r="K5" s="10">
        <f>(I5-J5)*H5</f>
        <v/>
      </c>
      <c r="L5" s="8">
        <f>I5-J5+K5</f>
        <v/>
      </c>
      <c r="M5" s="11" t="inlineStr">
        <is>
          <t>Validé</t>
        </is>
      </c>
      <c r="N5" s="4" t="inlineStr">
        <is>
          <t>Finition placo</t>
        </is>
      </c>
    </row>
    <row r="6" ht="20" customHeight="1">
      <c r="A6" s="12" t="n">
        <v>4</v>
      </c>
      <c r="B6" s="13" t="inlineStr">
        <is>
          <t>Peinture</t>
        </is>
      </c>
      <c r="C6" s="13" t="inlineStr">
        <is>
          <t>Peinture murs et plafonds</t>
        </is>
      </c>
      <c r="D6" s="12" t="inlineStr">
        <is>
          <t>m²</t>
        </is>
      </c>
      <c r="E6" s="5" t="n">
        <v>55</v>
      </c>
      <c r="F6" s="6" t="n">
        <v>22</v>
      </c>
      <c r="G6" s="7" t="n">
        <v>0.05</v>
      </c>
      <c r="H6" s="7" t="n">
        <v>0.1</v>
      </c>
      <c r="I6" s="14">
        <f>E6*F6</f>
        <v/>
      </c>
      <c r="J6" s="15">
        <f>I6*G6</f>
        <v/>
      </c>
      <c r="K6" s="16">
        <f>(I6-J6)*H6</f>
        <v/>
      </c>
      <c r="L6" s="14">
        <f>I6-J6+K6</f>
        <v/>
      </c>
      <c r="M6" s="11" t="inlineStr">
        <is>
          <t>Validé</t>
        </is>
      </c>
      <c r="N6" s="13" t="inlineStr">
        <is>
          <t>2 couches acryl</t>
        </is>
      </c>
    </row>
    <row r="7" ht="20" customHeight="1">
      <c r="A7" s="3" t="n">
        <v>5</v>
      </c>
      <c r="B7" s="4" t="inlineStr">
        <is>
          <t>Sol</t>
        </is>
      </c>
      <c r="C7" s="4" t="inlineStr">
        <is>
          <t>Revêtement sol LVT clipsable</t>
        </is>
      </c>
      <c r="D7" s="3" t="inlineStr">
        <is>
          <t>m²</t>
        </is>
      </c>
      <c r="E7" s="5" t="n">
        <v>28</v>
      </c>
      <c r="F7" s="6" t="n">
        <v>38</v>
      </c>
      <c r="G7" s="7" t="n">
        <v>0.08</v>
      </c>
      <c r="H7" s="7" t="n">
        <v>0.1</v>
      </c>
      <c r="I7" s="8">
        <f>E7*F7</f>
        <v/>
      </c>
      <c r="J7" s="9">
        <f>I7*G7</f>
        <v/>
      </c>
      <c r="K7" s="10">
        <f>(I7-J7)*H7</f>
        <v/>
      </c>
      <c r="L7" s="8">
        <f>I7-J7+K7</f>
        <v/>
      </c>
      <c r="M7" s="11" t="inlineStr">
        <is>
          <t>Validé</t>
        </is>
      </c>
      <c r="N7" s="4" t="inlineStr">
        <is>
          <t>Pose à prévoir</t>
        </is>
      </c>
    </row>
    <row r="8" ht="20" customHeight="1">
      <c r="A8" s="12" t="n">
        <v>6</v>
      </c>
      <c r="B8" s="13" t="inlineStr">
        <is>
          <t>Plomberie</t>
        </is>
      </c>
      <c r="C8" s="13" t="inlineStr">
        <is>
          <t>Plomberie salle de bain complète</t>
        </is>
      </c>
      <c r="D8" s="12" t="inlineStr">
        <is>
          <t>ens</t>
        </is>
      </c>
      <c r="E8" s="5" t="n">
        <v>1</v>
      </c>
      <c r="F8" s="6" t="n">
        <v>4800</v>
      </c>
      <c r="G8" s="7" t="n">
        <v>0.1</v>
      </c>
      <c r="H8" s="7" t="n">
        <v>0.1</v>
      </c>
      <c r="I8" s="14">
        <f>E8*F8</f>
        <v/>
      </c>
      <c r="J8" s="15">
        <f>I8*G8</f>
        <v/>
      </c>
      <c r="K8" s="16">
        <f>(I8-J8)*H8</f>
        <v/>
      </c>
      <c r="L8" s="14">
        <f>I8-J8+K8</f>
        <v/>
      </c>
      <c r="M8" s="11" t="inlineStr">
        <is>
          <t>Réservé</t>
        </is>
      </c>
      <c r="N8" s="13" t="inlineStr">
        <is>
          <t>Attente validation</t>
        </is>
      </c>
    </row>
    <row r="9" ht="20" customHeight="1">
      <c r="A9" s="3" t="n">
        <v>7</v>
      </c>
      <c r="B9" s="4" t="inlineStr">
        <is>
          <t>Électricité</t>
        </is>
      </c>
      <c r="C9" s="4" t="inlineStr">
        <is>
          <t>Points électriques prises/inter.</t>
        </is>
      </c>
      <c r="D9" s="3" t="inlineStr">
        <is>
          <t>u</t>
        </is>
      </c>
      <c r="E9" s="5" t="n">
        <v>18</v>
      </c>
      <c r="F9" s="6" t="n">
        <v>85</v>
      </c>
      <c r="G9" s="7" t="n">
        <v>0</v>
      </c>
      <c r="H9" s="7" t="n">
        <v>0.1</v>
      </c>
      <c r="I9" s="8">
        <f>E9*F9</f>
        <v/>
      </c>
      <c r="J9" s="9">
        <f>I9*G9</f>
        <v/>
      </c>
      <c r="K9" s="10">
        <f>(I9-J9)*H9</f>
        <v/>
      </c>
      <c r="L9" s="8">
        <f>I9-J9+K9</f>
        <v/>
      </c>
      <c r="M9" s="11" t="inlineStr">
        <is>
          <t>Validé</t>
        </is>
      </c>
      <c r="N9" s="4" t="inlineStr">
        <is>
          <t>Norme NF C 15-100</t>
        </is>
      </c>
    </row>
    <row r="10" ht="20" customHeight="1">
      <c r="A10" s="12" t="n">
        <v>8</v>
      </c>
      <c r="B10" s="13" t="inlineStr">
        <is>
          <t>Menuiserie</t>
        </is>
      </c>
      <c r="C10" s="13" t="inlineStr">
        <is>
          <t>Menuiserie intérieure portes</t>
        </is>
      </c>
      <c r="D10" s="12" t="inlineStr">
        <is>
          <t>u</t>
        </is>
      </c>
      <c r="E10" s="5" t="n">
        <v>4</v>
      </c>
      <c r="F10" s="6" t="n">
        <v>320</v>
      </c>
      <c r="G10" s="7" t="n">
        <v>0.05</v>
      </c>
      <c r="H10" s="7" t="n">
        <v>0.2</v>
      </c>
      <c r="I10" s="14">
        <f>E10*F10</f>
        <v/>
      </c>
      <c r="J10" s="15">
        <f>I10*G10</f>
        <v/>
      </c>
      <c r="K10" s="16">
        <f>(I10-J10)*H10</f>
        <v/>
      </c>
      <c r="L10" s="14">
        <f>I10-J10+K10</f>
        <v/>
      </c>
      <c r="M10" s="11" t="inlineStr">
        <is>
          <t>À chiffrer</t>
        </is>
      </c>
      <c r="N10" s="13" t="inlineStr">
        <is>
          <t>Dimensions à confirmer</t>
        </is>
      </c>
    </row>
    <row r="11" ht="20" customHeight="1">
      <c r="A11" s="3" t="n">
        <v>9</v>
      </c>
      <c r="B11" s="4" t="inlineStr">
        <is>
          <t>Isolation</t>
        </is>
      </c>
      <c r="C11" s="4" t="inlineStr">
        <is>
          <t>Isolation thermique par l'ext.</t>
        </is>
      </c>
      <c r="D11" s="3" t="inlineStr">
        <is>
          <t>m²</t>
        </is>
      </c>
      <c r="E11" s="5" t="n">
        <v>40</v>
      </c>
      <c r="F11" s="6" t="n">
        <v>95</v>
      </c>
      <c r="G11" s="7" t="n">
        <v>0.03</v>
      </c>
      <c r="H11" s="7" t="n">
        <v>0.055</v>
      </c>
      <c r="I11" s="8">
        <f>E11*F11</f>
        <v/>
      </c>
      <c r="J11" s="9">
        <f>I11*G11</f>
        <v/>
      </c>
      <c r="K11" s="10">
        <f>(I11-J11)*H11</f>
        <v/>
      </c>
      <c r="L11" s="8">
        <f>I11-J11+K11</f>
        <v/>
      </c>
      <c r="M11" s="11" t="inlineStr">
        <is>
          <t>Réservé</t>
        </is>
      </c>
      <c r="N11" s="4" t="inlineStr">
        <is>
          <t>CEE éligible</t>
        </is>
      </c>
    </row>
    <row r="12" ht="20" customHeight="1">
      <c r="A12" s="12" t="n">
        <v>10</v>
      </c>
      <c r="B12" s="13" t="inlineStr">
        <is>
          <t>Finitions</t>
        </is>
      </c>
      <c r="C12" s="13" t="inlineStr">
        <is>
          <t>Nettoyage et finitions chantier</t>
        </is>
      </c>
      <c r="D12" s="12" t="inlineStr">
        <is>
          <t>fft</t>
        </is>
      </c>
      <c r="E12" s="5" t="n">
        <v>1</v>
      </c>
      <c r="F12" s="6" t="n">
        <v>650</v>
      </c>
      <c r="G12" s="7" t="n">
        <v>0</v>
      </c>
      <c r="H12" s="7" t="n">
        <v>0.1</v>
      </c>
      <c r="I12" s="14">
        <f>E12*F12</f>
        <v/>
      </c>
      <c r="J12" s="15">
        <f>I12*G12</f>
        <v/>
      </c>
      <c r="K12" s="16">
        <f>(I12-J12)*H12</f>
        <v/>
      </c>
      <c r="L12" s="14">
        <f>I12-J12+K12</f>
        <v/>
      </c>
      <c r="M12" s="11" t="inlineStr">
        <is>
          <t>À chiffrer</t>
        </is>
      </c>
      <c r="N12" s="13" t="inlineStr">
        <is>
          <t>En fin de chantier</t>
        </is>
      </c>
    </row>
    <row r="13" ht="22" customHeight="1">
      <c r="A13" s="17" t="inlineStr">
        <is>
          <t>TOTAUX</t>
        </is>
      </c>
      <c r="B13" s="18" t="n"/>
      <c r="C13" s="18" t="n"/>
      <c r="D13" s="18" t="n"/>
      <c r="E13" s="18" t="n"/>
      <c r="F13" s="18" t="n"/>
      <c r="G13" s="18" t="n"/>
      <c r="H13" s="18" t="n"/>
      <c r="I13" s="19">
        <f>SUM(I3:I12)</f>
        <v/>
      </c>
      <c r="J13" s="19">
        <f>SUM(J3:J12)</f>
        <v/>
      </c>
      <c r="K13" s="19">
        <f>SUM(K3:K12)</f>
        <v/>
      </c>
      <c r="L13" s="19">
        <f>SUM(L3:L12)</f>
        <v/>
      </c>
    </row>
    <row r="14" ht="20" customHeight="1">
      <c r="A14" s="20" t="inlineStr">
        <is>
          <t>Moy. PU HT :</t>
        </is>
      </c>
      <c r="B14" s="21">
        <f>AVERAGE(F3:F12)</f>
        <v/>
      </c>
      <c r="C14" s="22" t="n"/>
      <c r="D14" s="22" t="n"/>
      <c r="E14" s="20" t="inlineStr">
        <is>
          <t>Nb validés :</t>
        </is>
      </c>
      <c r="F14" s="23">
        <f>COUNTIF(M3:M12,"Validé")</f>
        <v/>
      </c>
      <c r="G14" s="22" t="n"/>
      <c r="H14" s="22" t="n"/>
      <c r="I14" s="20" t="inlineStr">
        <is>
          <t>% remise moy. :</t>
        </is>
      </c>
      <c r="J14" s="24">
        <f>IFERROR(AVERAGE(G3:G12),0)</f>
        <v/>
      </c>
      <c r="K14" s="22" t="n"/>
      <c r="L14" s="22" t="n"/>
      <c r="M14" s="22" t="n"/>
      <c r="N14" s="22" t="n"/>
    </row>
  </sheetData>
  <mergeCells count="2">
    <mergeCell ref="A1:N1"/>
    <mergeCell ref="A13:H13"/>
  </mergeCells>
  <dataValidations count="1">
    <dataValidation sqref="M3:M12" showErrorMessage="1" showInputMessage="1" allowBlank="1" type="list">
      <formula1>"À chiffrer,Validé,Réservé"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6" customWidth="1" min="3" max="3"/>
    <col width="14" customWidth="1" min="4" max="4"/>
    <col width="16" customWidth="1" min="5" max="5"/>
    <col width="13" customWidth="1" min="6" max="6"/>
    <col width="10" customWidth="1" min="7" max="7"/>
    <col width="12" customWidth="1" min="8" max="8"/>
    <col width="12" customWidth="1" min="9" max="9"/>
  </cols>
  <sheetData>
    <row r="1" ht="30" customHeight="1">
      <c r="A1" s="1" t="inlineStr">
        <is>
          <t>BORDEREAU RÉCAPITULATIF — SYNTHÈSE PAR LOT</t>
        </is>
      </c>
    </row>
    <row r="2" ht="20" customHeight="1">
      <c r="A2" s="25" t="inlineStr">
        <is>
          <t>Total devis HT :</t>
        </is>
      </c>
      <c r="B2" s="26">
        <f>Devis_Travaux!I13</f>
        <v/>
      </c>
      <c r="C2" s="27" t="n"/>
      <c r="D2" s="27" t="n"/>
      <c r="E2" s="27" t="n"/>
      <c r="F2" s="27" t="n"/>
      <c r="G2" s="27" t="n"/>
      <c r="H2" s="27" t="n"/>
    </row>
    <row r="3" ht="20" customHeight="1">
      <c r="A3" s="25" t="inlineStr">
        <is>
          <t>Total remises :</t>
        </is>
      </c>
      <c r="B3" s="28">
        <f>Devis_Travaux!J13</f>
        <v/>
      </c>
      <c r="C3" s="27" t="n"/>
      <c r="D3" s="27" t="n"/>
      <c r="E3" s="27" t="n"/>
      <c r="F3" s="27" t="n"/>
      <c r="G3" s="27" t="n"/>
      <c r="H3" s="27" t="n"/>
    </row>
    <row r="4" ht="20" customHeight="1">
      <c r="A4" s="25" t="inlineStr">
        <is>
          <t>Total TVA :</t>
        </is>
      </c>
      <c r="B4" s="29">
        <f>Devis_Travaux!K13</f>
        <v/>
      </c>
      <c r="C4" s="27" t="n"/>
      <c r="D4" s="27" t="n"/>
      <c r="E4" s="27" t="n"/>
      <c r="F4" s="27" t="n"/>
      <c r="G4" s="27" t="n"/>
      <c r="H4" s="27" t="n"/>
    </row>
    <row r="5" ht="20" customHeight="1">
      <c r="A5" s="25" t="inlineStr">
        <is>
          <t>Total TTC :</t>
        </is>
      </c>
      <c r="B5" s="26">
        <f>Devis_Travaux!L13</f>
        <v/>
      </c>
      <c r="C5" s="27" t="n"/>
      <c r="D5" s="27" t="n"/>
      <c r="E5" s="27" t="n"/>
      <c r="F5" s="27" t="n"/>
      <c r="G5" s="27" t="n"/>
      <c r="H5" s="27" t="n"/>
    </row>
    <row r="6" ht="20" customHeight="1">
      <c r="A6" s="30" t="inlineStr">
        <is>
          <t>Taux moyen de remise :</t>
        </is>
      </c>
      <c r="B6" s="31">
        <f>IFERROR(Devis_Travaux!J13/Devis_Travaux!I13,0)</f>
        <v/>
      </c>
      <c r="C6" s="27" t="n"/>
      <c r="D6" s="27" t="n"/>
      <c r="E6" s="27" t="n"/>
      <c r="F6" s="27" t="n"/>
      <c r="G6" s="27" t="n"/>
      <c r="H6" s="27" t="n"/>
    </row>
    <row r="7" ht="30" customHeight="1">
      <c r="A7" s="2" t="inlineStr">
        <is>
          <t>Lot / Poste</t>
        </is>
      </c>
      <c r="B7" s="32" t="inlineStr">
        <is>
          <t>Total HT (€)</t>
        </is>
      </c>
      <c r="C7" s="2" t="inlineStr">
        <is>
          <t>Total Remise (€)</t>
        </is>
      </c>
      <c r="D7" s="2" t="inlineStr">
        <is>
          <t>Total TVA (€)</t>
        </is>
      </c>
      <c r="E7" s="2" t="inlineStr">
        <is>
          <t>Total TTC (€)</t>
        </is>
      </c>
      <c r="F7" s="2" t="inlineStr">
        <is>
          <t>Part TTC (%)</t>
        </is>
      </c>
      <c r="G7" s="2" t="inlineStr">
        <is>
          <t>Nb lignes</t>
        </is>
      </c>
      <c r="H7" s="2" t="inlineStr">
        <is>
          <t>Nb validées</t>
        </is>
      </c>
      <c r="I7" s="2" t="inlineStr">
        <is>
          <t>Statut lot</t>
        </is>
      </c>
    </row>
    <row r="8" ht="20" customHeight="1">
      <c r="A8" s="33" t="inlineStr">
        <is>
          <t>Démolition</t>
        </is>
      </c>
      <c r="B8" s="10">
        <f>IFERROR(SUMIF(Devis_Travaux!B3:B12,"Démolition",Devis_Travaux!I3:I12),0)</f>
        <v/>
      </c>
      <c r="C8" s="9">
        <f>IFERROR(SUMIF(Devis_Travaux!B3:B12,"Démolition",Devis_Travaux!J3:J12),0)</f>
        <v/>
      </c>
      <c r="D8" s="10">
        <f>IFERROR(SUMIF(Devis_Travaux!B3:B12,"Démolition",Devis_Travaux!K3:K12),0)</f>
        <v/>
      </c>
      <c r="E8" s="8">
        <f>IFERROR(SUMIF(Devis_Travaux!B3:B12,"Démolition",Devis_Travaux!L3:L12),0)</f>
        <v/>
      </c>
      <c r="F8" s="34">
        <f>IFERROR(E8/E18,0)</f>
        <v/>
      </c>
      <c r="G8" s="3">
        <f>COUNTIF(Devis_Travaux!B3:B12,"Démolition")</f>
        <v/>
      </c>
      <c r="H8" s="3">
        <f>COUNTIFS(Devis_Travaux!B3:B12,"Démolition",Devis_Travaux!M3:M12,"Validé")</f>
        <v/>
      </c>
      <c r="I8" s="3">
        <f>IF(G8=H8,"OK","À revoir")</f>
        <v/>
      </c>
    </row>
    <row r="9" ht="20" customHeight="1">
      <c r="A9" s="35" t="inlineStr">
        <is>
          <t>Cloison</t>
        </is>
      </c>
      <c r="B9" s="16">
        <f>IFERROR(SUMIF(Devis_Travaux!B3:B12,"Cloison",Devis_Travaux!I3:I12),0)</f>
        <v/>
      </c>
      <c r="C9" s="15">
        <f>IFERROR(SUMIF(Devis_Travaux!B3:B12,"Cloison",Devis_Travaux!J3:J12),0)</f>
        <v/>
      </c>
      <c r="D9" s="16">
        <f>IFERROR(SUMIF(Devis_Travaux!B3:B12,"Cloison",Devis_Travaux!K3:K12),0)</f>
        <v/>
      </c>
      <c r="E9" s="14">
        <f>IFERROR(SUMIF(Devis_Travaux!B3:B12,"Cloison",Devis_Travaux!L3:L12),0)</f>
        <v/>
      </c>
      <c r="F9" s="36">
        <f>IFERROR(E9/E18,0)</f>
        <v/>
      </c>
      <c r="G9" s="12">
        <f>COUNTIF(Devis_Travaux!B3:B12,"Cloison")</f>
        <v/>
      </c>
      <c r="H9" s="12">
        <f>COUNTIFS(Devis_Travaux!B3:B12,"Cloison",Devis_Travaux!M3:M12,"Validé")</f>
        <v/>
      </c>
      <c r="I9" s="12">
        <f>IF(G9=H9,"OK","À revoir")</f>
        <v/>
      </c>
    </row>
    <row r="10" ht="20" customHeight="1">
      <c r="A10" s="33" t="inlineStr">
        <is>
          <t>Enduit</t>
        </is>
      </c>
      <c r="B10" s="10">
        <f>IFERROR(SUMIF(Devis_Travaux!B3:B12,"Enduit",Devis_Travaux!I3:I12),0)</f>
        <v/>
      </c>
      <c r="C10" s="9">
        <f>IFERROR(SUMIF(Devis_Travaux!B3:B12,"Enduit",Devis_Travaux!J3:J12),0)</f>
        <v/>
      </c>
      <c r="D10" s="10">
        <f>IFERROR(SUMIF(Devis_Travaux!B3:B12,"Enduit",Devis_Travaux!K3:K12),0)</f>
        <v/>
      </c>
      <c r="E10" s="8">
        <f>IFERROR(SUMIF(Devis_Travaux!B3:B12,"Enduit",Devis_Travaux!L3:L12),0)</f>
        <v/>
      </c>
      <c r="F10" s="34">
        <f>IFERROR(E10/E18,0)</f>
        <v/>
      </c>
      <c r="G10" s="3">
        <f>COUNTIF(Devis_Travaux!B3:B12,"Enduit")</f>
        <v/>
      </c>
      <c r="H10" s="3">
        <f>COUNTIFS(Devis_Travaux!B3:B12,"Enduit",Devis_Travaux!M3:M12,"Validé")</f>
        <v/>
      </c>
      <c r="I10" s="3">
        <f>IF(G10=H10,"OK","À revoir")</f>
        <v/>
      </c>
    </row>
    <row r="11" ht="20" customHeight="1">
      <c r="A11" s="35" t="inlineStr">
        <is>
          <t>Peinture</t>
        </is>
      </c>
      <c r="B11" s="16">
        <f>IFERROR(SUMIF(Devis_Travaux!B3:B12,"Peinture",Devis_Travaux!I3:I12),0)</f>
        <v/>
      </c>
      <c r="C11" s="15">
        <f>IFERROR(SUMIF(Devis_Travaux!B3:B12,"Peinture",Devis_Travaux!J3:J12),0)</f>
        <v/>
      </c>
      <c r="D11" s="16">
        <f>IFERROR(SUMIF(Devis_Travaux!B3:B12,"Peinture",Devis_Travaux!K3:K12),0)</f>
        <v/>
      </c>
      <c r="E11" s="14">
        <f>IFERROR(SUMIF(Devis_Travaux!B3:B12,"Peinture",Devis_Travaux!L3:L12),0)</f>
        <v/>
      </c>
      <c r="F11" s="36">
        <f>IFERROR(E11/E18,0)</f>
        <v/>
      </c>
      <c r="G11" s="12">
        <f>COUNTIF(Devis_Travaux!B3:B12,"Peinture")</f>
        <v/>
      </c>
      <c r="H11" s="12">
        <f>COUNTIFS(Devis_Travaux!B3:B12,"Peinture",Devis_Travaux!M3:M12,"Validé")</f>
        <v/>
      </c>
      <c r="I11" s="12">
        <f>IF(G11=H11,"OK","À revoir")</f>
        <v/>
      </c>
    </row>
    <row r="12" ht="20" customHeight="1">
      <c r="A12" s="33" t="inlineStr">
        <is>
          <t>Sol</t>
        </is>
      </c>
      <c r="B12" s="10">
        <f>IFERROR(SUMIF(Devis_Travaux!B3:B12,"Sol",Devis_Travaux!I3:I12),0)</f>
        <v/>
      </c>
      <c r="C12" s="9">
        <f>IFERROR(SUMIF(Devis_Travaux!B3:B12,"Sol",Devis_Travaux!J3:J12),0)</f>
        <v/>
      </c>
      <c r="D12" s="10">
        <f>IFERROR(SUMIF(Devis_Travaux!B3:B12,"Sol",Devis_Travaux!K3:K12),0)</f>
        <v/>
      </c>
      <c r="E12" s="8">
        <f>IFERROR(SUMIF(Devis_Travaux!B3:B12,"Sol",Devis_Travaux!L3:L12),0)</f>
        <v/>
      </c>
      <c r="F12" s="34">
        <f>IFERROR(E12/E18,0)</f>
        <v/>
      </c>
      <c r="G12" s="3">
        <f>COUNTIF(Devis_Travaux!B3:B12,"Sol")</f>
        <v/>
      </c>
      <c r="H12" s="3">
        <f>COUNTIFS(Devis_Travaux!B3:B12,"Sol",Devis_Travaux!M3:M12,"Validé")</f>
        <v/>
      </c>
      <c r="I12" s="3">
        <f>IF(G12=H12,"OK","À revoir")</f>
        <v/>
      </c>
    </row>
    <row r="13" ht="20" customHeight="1">
      <c r="A13" s="35" t="inlineStr">
        <is>
          <t>Plomberie</t>
        </is>
      </c>
      <c r="B13" s="16">
        <f>IFERROR(SUMIF(Devis_Travaux!B3:B12,"Plomberie",Devis_Travaux!I3:I12),0)</f>
        <v/>
      </c>
      <c r="C13" s="15">
        <f>IFERROR(SUMIF(Devis_Travaux!B3:B12,"Plomberie",Devis_Travaux!J3:J12),0)</f>
        <v/>
      </c>
      <c r="D13" s="16">
        <f>IFERROR(SUMIF(Devis_Travaux!B3:B12,"Plomberie",Devis_Travaux!K3:K12),0)</f>
        <v/>
      </c>
      <c r="E13" s="14">
        <f>IFERROR(SUMIF(Devis_Travaux!B3:B12,"Plomberie",Devis_Travaux!L3:L12),0)</f>
        <v/>
      </c>
      <c r="F13" s="36">
        <f>IFERROR(E13/E18,0)</f>
        <v/>
      </c>
      <c r="G13" s="12">
        <f>COUNTIF(Devis_Travaux!B3:B12,"Plomberie")</f>
        <v/>
      </c>
      <c r="H13" s="12">
        <f>COUNTIFS(Devis_Travaux!B3:B12,"Plomberie",Devis_Travaux!M3:M12,"Validé")</f>
        <v/>
      </c>
      <c r="I13" s="12">
        <f>IF(G13=H13,"OK","À revoir")</f>
        <v/>
      </c>
    </row>
    <row r="14" ht="20" customHeight="1">
      <c r="A14" s="33" t="inlineStr">
        <is>
          <t>Électricité</t>
        </is>
      </c>
      <c r="B14" s="10">
        <f>IFERROR(SUMIF(Devis_Travaux!B3:B12,"Électricité",Devis_Travaux!I3:I12),0)</f>
        <v/>
      </c>
      <c r="C14" s="9">
        <f>IFERROR(SUMIF(Devis_Travaux!B3:B12,"Électricité",Devis_Travaux!J3:J12),0)</f>
        <v/>
      </c>
      <c r="D14" s="10">
        <f>IFERROR(SUMIF(Devis_Travaux!B3:B12,"Électricité",Devis_Travaux!K3:K12),0)</f>
        <v/>
      </c>
      <c r="E14" s="8">
        <f>IFERROR(SUMIF(Devis_Travaux!B3:B12,"Électricité",Devis_Travaux!L3:L12),0)</f>
        <v/>
      </c>
      <c r="F14" s="34">
        <f>IFERROR(E14/E18,0)</f>
        <v/>
      </c>
      <c r="G14" s="3">
        <f>COUNTIF(Devis_Travaux!B3:B12,"Électricité")</f>
        <v/>
      </c>
      <c r="H14" s="3">
        <f>COUNTIFS(Devis_Travaux!B3:B12,"Électricité",Devis_Travaux!M3:M12,"Validé")</f>
        <v/>
      </c>
      <c r="I14" s="3">
        <f>IF(G14=H14,"OK","À revoir")</f>
        <v/>
      </c>
    </row>
    <row r="15" ht="20" customHeight="1">
      <c r="A15" s="35" t="inlineStr">
        <is>
          <t>Menuiserie</t>
        </is>
      </c>
      <c r="B15" s="16">
        <f>IFERROR(SUMIF(Devis_Travaux!B3:B12,"Menuiserie",Devis_Travaux!I3:I12),0)</f>
        <v/>
      </c>
      <c r="C15" s="15">
        <f>IFERROR(SUMIF(Devis_Travaux!B3:B12,"Menuiserie",Devis_Travaux!J3:J12),0)</f>
        <v/>
      </c>
      <c r="D15" s="16">
        <f>IFERROR(SUMIF(Devis_Travaux!B3:B12,"Menuiserie",Devis_Travaux!K3:K12),0)</f>
        <v/>
      </c>
      <c r="E15" s="14">
        <f>IFERROR(SUMIF(Devis_Travaux!B3:B12,"Menuiserie",Devis_Travaux!L3:L12),0)</f>
        <v/>
      </c>
      <c r="F15" s="36">
        <f>IFERROR(E15/E18,0)</f>
        <v/>
      </c>
      <c r="G15" s="12">
        <f>COUNTIF(Devis_Travaux!B3:B12,"Menuiserie")</f>
        <v/>
      </c>
      <c r="H15" s="12">
        <f>COUNTIFS(Devis_Travaux!B3:B12,"Menuiserie",Devis_Travaux!M3:M12,"Validé")</f>
        <v/>
      </c>
      <c r="I15" s="12">
        <f>IF(G15=H15,"OK","À revoir")</f>
        <v/>
      </c>
    </row>
    <row r="16" ht="20" customHeight="1">
      <c r="A16" s="33" t="inlineStr">
        <is>
          <t>Isolation</t>
        </is>
      </c>
      <c r="B16" s="10">
        <f>IFERROR(SUMIF(Devis_Travaux!B3:B12,"Isolation",Devis_Travaux!I3:I12),0)</f>
        <v/>
      </c>
      <c r="C16" s="9">
        <f>IFERROR(SUMIF(Devis_Travaux!B3:B12,"Isolation",Devis_Travaux!J3:J12),0)</f>
        <v/>
      </c>
      <c r="D16" s="10">
        <f>IFERROR(SUMIF(Devis_Travaux!B3:B12,"Isolation",Devis_Travaux!K3:K12),0)</f>
        <v/>
      </c>
      <c r="E16" s="8">
        <f>IFERROR(SUMIF(Devis_Travaux!B3:B12,"Isolation",Devis_Travaux!L3:L12),0)</f>
        <v/>
      </c>
      <c r="F16" s="34">
        <f>IFERROR(E16/E18,0)</f>
        <v/>
      </c>
      <c r="G16" s="3">
        <f>COUNTIF(Devis_Travaux!B3:B12,"Isolation")</f>
        <v/>
      </c>
      <c r="H16" s="3">
        <f>COUNTIFS(Devis_Travaux!B3:B12,"Isolation",Devis_Travaux!M3:M12,"Validé")</f>
        <v/>
      </c>
      <c r="I16" s="3">
        <f>IF(G16=H16,"OK","À revoir")</f>
        <v/>
      </c>
    </row>
    <row r="17" ht="20" customHeight="1">
      <c r="A17" s="35" t="inlineStr">
        <is>
          <t>Finitions</t>
        </is>
      </c>
      <c r="B17" s="16">
        <f>IFERROR(SUMIF(Devis_Travaux!B3:B12,"Finitions",Devis_Travaux!I3:I12),0)</f>
        <v/>
      </c>
      <c r="C17" s="15">
        <f>IFERROR(SUMIF(Devis_Travaux!B3:B12,"Finitions",Devis_Travaux!J3:J12),0)</f>
        <v/>
      </c>
      <c r="D17" s="16">
        <f>IFERROR(SUMIF(Devis_Travaux!B3:B12,"Finitions",Devis_Travaux!K3:K12),0)</f>
        <v/>
      </c>
      <c r="E17" s="14">
        <f>IFERROR(SUMIF(Devis_Travaux!B3:B12,"Finitions",Devis_Travaux!L3:L12),0)</f>
        <v/>
      </c>
      <c r="F17" s="36">
        <f>IFERROR(E17/E18,0)</f>
        <v/>
      </c>
      <c r="G17" s="12">
        <f>COUNTIF(Devis_Travaux!B3:B12,"Finitions")</f>
        <v/>
      </c>
      <c r="H17" s="12">
        <f>COUNTIFS(Devis_Travaux!B3:B12,"Finitions",Devis_Travaux!M3:M12,"Validé")</f>
        <v/>
      </c>
      <c r="I17" s="12">
        <f>IF(G17=H17,"OK","À revoir")</f>
        <v/>
      </c>
    </row>
    <row r="18" ht="22" customHeight="1">
      <c r="A18" s="17" t="inlineStr">
        <is>
          <t>TOTAL GÉNÉRAL</t>
        </is>
      </c>
      <c r="B18" s="19">
        <f>SUM(B8:B17)</f>
        <v/>
      </c>
      <c r="C18" s="19">
        <f>SUM(C8:C17)</f>
        <v/>
      </c>
      <c r="D18" s="19">
        <f>SUM(D8:D17)</f>
        <v/>
      </c>
      <c r="E18" s="19">
        <f>SUM(E8:E17)</f>
        <v/>
      </c>
      <c r="F18" s="18" t="n"/>
      <c r="G18" s="18" t="n"/>
      <c r="H18" s="18" t="n"/>
      <c r="I18" s="18" t="n"/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selection activeCell="A1" sqref="A1"/>
    </sheetView>
  </sheetViews>
  <sheetFormatPr baseColWidth="8" defaultRowHeight="15"/>
  <cols>
    <col width="18" customWidth="1" min="1" max="1"/>
    <col width="8" customWidth="1" min="2" max="2"/>
    <col width="18" customWidth="1" min="3" max="3"/>
    <col width="13" customWidth="1" min="4" max="4"/>
    <col width="18" customWidth="1" min="5" max="5"/>
    <col width="18" customWidth="1" min="6" max="6"/>
    <col width="32" customWidth="1" min="7" max="7"/>
  </cols>
  <sheetData>
    <row r="1" ht="30" customHeight="1">
      <c r="A1" s="1" t="inlineStr">
        <is>
          <t>PARAMÈTRES ET TARIFS DE RÉFÉRENCE</t>
        </is>
      </c>
    </row>
    <row r="2" ht="28" customHeight="1">
      <c r="A2" s="2" t="inlineStr">
        <is>
          <t>Lot / Poste</t>
        </is>
      </c>
      <c r="B2" s="2" t="inlineStr">
        <is>
          <t>Unité</t>
        </is>
      </c>
      <c r="C2" s="2" t="inlineStr">
        <is>
          <t>Prix base HT (€)</t>
        </is>
      </c>
      <c r="D2" s="2" t="inlineStr">
        <is>
          <t>TVA défaut</t>
        </is>
      </c>
      <c r="E2" s="2" t="inlineStr">
        <is>
          <t>Coeff. complexité</t>
        </is>
      </c>
      <c r="F2" s="2" t="inlineStr">
        <is>
          <t>Prix ajusté HT (€)</t>
        </is>
      </c>
      <c r="G2" s="2" t="inlineStr">
        <is>
          <t>Commentaire</t>
        </is>
      </c>
    </row>
    <row r="3" ht="20" customHeight="1">
      <c r="A3" s="33" t="inlineStr">
        <is>
          <t>Démolition</t>
        </is>
      </c>
      <c r="B3" s="3" t="inlineStr">
        <is>
          <t>m²</t>
        </is>
      </c>
      <c r="C3" s="6" t="n">
        <v>35</v>
      </c>
      <c r="D3" s="37" t="n">
        <v>0.1</v>
      </c>
      <c r="E3" s="38" t="n">
        <v>1</v>
      </c>
      <c r="F3" s="8">
        <f>C3*E3</f>
        <v/>
      </c>
      <c r="G3" s="4" t="inlineStr">
        <is>
          <t>Standard</t>
        </is>
      </c>
    </row>
    <row r="4" ht="20" customHeight="1">
      <c r="A4" s="35" t="inlineStr">
        <is>
          <t>Cloison</t>
        </is>
      </c>
      <c r="B4" s="12" t="inlineStr">
        <is>
          <t>m²</t>
        </is>
      </c>
      <c r="C4" s="6" t="n">
        <v>42</v>
      </c>
      <c r="D4" s="37" t="n">
        <v>0.1</v>
      </c>
      <c r="E4" s="38" t="n">
        <v>1.05</v>
      </c>
      <c r="F4" s="14">
        <f>C4*E4</f>
        <v/>
      </c>
      <c r="G4" s="13" t="inlineStr">
        <is>
          <t>Légère hausse fournitures 2026</t>
        </is>
      </c>
    </row>
    <row r="5" ht="20" customHeight="1">
      <c r="A5" s="33" t="inlineStr">
        <is>
          <t>Enduit</t>
        </is>
      </c>
      <c r="B5" s="3" t="inlineStr">
        <is>
          <t>m²</t>
        </is>
      </c>
      <c r="C5" s="6" t="n">
        <v>18</v>
      </c>
      <c r="D5" s="37" t="n">
        <v>0.1</v>
      </c>
      <c r="E5" s="38" t="n">
        <v>1</v>
      </c>
      <c r="F5" s="8">
        <f>C5*E5</f>
        <v/>
      </c>
      <c r="G5" s="4" t="inlineStr">
        <is>
          <t>Enduit de finition</t>
        </is>
      </c>
    </row>
    <row r="6" ht="20" customHeight="1">
      <c r="A6" s="35" t="inlineStr">
        <is>
          <t>Peinture</t>
        </is>
      </c>
      <c r="B6" s="12" t="inlineStr">
        <is>
          <t>m²</t>
        </is>
      </c>
      <c r="C6" s="6" t="n">
        <v>22</v>
      </c>
      <c r="D6" s="37" t="n">
        <v>0.1</v>
      </c>
      <c r="E6" s="38" t="n">
        <v>1.1</v>
      </c>
      <c r="F6" s="14">
        <f>C6*E6</f>
        <v/>
      </c>
      <c r="G6" s="13" t="inlineStr">
        <is>
          <t>2 couches + sous-couche</t>
        </is>
      </c>
    </row>
    <row r="7" ht="20" customHeight="1">
      <c r="A7" s="33" t="inlineStr">
        <is>
          <t>Sol</t>
        </is>
      </c>
      <c r="B7" s="3" t="inlineStr">
        <is>
          <t>m²</t>
        </is>
      </c>
      <c r="C7" s="6" t="n">
        <v>38</v>
      </c>
      <c r="D7" s="37" t="n">
        <v>0.1</v>
      </c>
      <c r="E7" s="38" t="n">
        <v>1</v>
      </c>
      <c r="F7" s="8">
        <f>C7*E7</f>
        <v/>
      </c>
      <c r="G7" s="4" t="inlineStr">
        <is>
          <t>LVT pose flottante</t>
        </is>
      </c>
    </row>
    <row r="8" ht="20" customHeight="1">
      <c r="A8" s="35" t="inlineStr">
        <is>
          <t>Plomberie</t>
        </is>
      </c>
      <c r="B8" s="12" t="inlineStr">
        <is>
          <t>ens</t>
        </is>
      </c>
      <c r="C8" s="6" t="n">
        <v>4800</v>
      </c>
      <c r="D8" s="37" t="n">
        <v>0.1</v>
      </c>
      <c r="E8" s="38" t="n">
        <v>1.2</v>
      </c>
      <c r="F8" s="14">
        <f>C8*E8</f>
        <v/>
      </c>
      <c r="G8" s="13" t="inlineStr">
        <is>
          <t>Salle de bain complète</t>
        </is>
      </c>
    </row>
    <row r="9" ht="20" customHeight="1">
      <c r="A9" s="33" t="inlineStr">
        <is>
          <t>Électricité</t>
        </is>
      </c>
      <c r="B9" s="3" t="inlineStr">
        <is>
          <t>u</t>
        </is>
      </c>
      <c r="C9" s="6" t="n">
        <v>85</v>
      </c>
      <c r="D9" s="37" t="n">
        <v>0.1</v>
      </c>
      <c r="E9" s="38" t="n">
        <v>1</v>
      </c>
      <c r="F9" s="8">
        <f>C9*E9</f>
        <v/>
      </c>
      <c r="G9" s="4" t="inlineStr">
        <is>
          <t>NF C 15-100</t>
        </is>
      </c>
    </row>
    <row r="10" ht="20" customHeight="1">
      <c r="A10" s="35" t="inlineStr">
        <is>
          <t>Menuiserie</t>
        </is>
      </c>
      <c r="B10" s="12" t="inlineStr">
        <is>
          <t>u</t>
        </is>
      </c>
      <c r="C10" s="6" t="n">
        <v>320</v>
      </c>
      <c r="D10" s="37" t="n">
        <v>0.2</v>
      </c>
      <c r="E10" s="38" t="n">
        <v>1.05</v>
      </c>
      <c r="F10" s="14">
        <f>C10*E10</f>
        <v/>
      </c>
      <c r="G10" s="13" t="inlineStr">
        <is>
          <t>Portes intérieures</t>
        </is>
      </c>
    </row>
    <row r="11" ht="20" customHeight="1">
      <c r="A11" s="33" t="inlineStr">
        <is>
          <t>Isolation</t>
        </is>
      </c>
      <c r="B11" s="3" t="inlineStr">
        <is>
          <t>m²</t>
        </is>
      </c>
      <c r="C11" s="6" t="n">
        <v>95</v>
      </c>
      <c r="D11" s="37" t="n">
        <v>0.055</v>
      </c>
      <c r="E11" s="38" t="n">
        <v>1.15</v>
      </c>
      <c r="F11" s="8">
        <f>C11*E11</f>
        <v/>
      </c>
      <c r="G11" s="4" t="inlineStr">
        <is>
          <t>CEE — TVA 5,5%</t>
        </is>
      </c>
    </row>
    <row r="12" ht="20" customHeight="1">
      <c r="A12" s="35" t="inlineStr">
        <is>
          <t>Finitions</t>
        </is>
      </c>
      <c r="B12" s="12" t="inlineStr">
        <is>
          <t>fft</t>
        </is>
      </c>
      <c r="C12" s="6" t="n">
        <v>650</v>
      </c>
      <c r="D12" s="37" t="n">
        <v>0.1</v>
      </c>
      <c r="E12" s="38" t="n">
        <v>1</v>
      </c>
      <c r="F12" s="14">
        <f>C12*E12</f>
        <v/>
      </c>
      <c r="G12" s="13" t="inlineStr">
        <is>
          <t>Nettoyage et finitions</t>
        </is>
      </c>
    </row>
    <row r="14" ht="24" customHeight="1">
      <c r="A14" s="39" t="inlineStr">
        <is>
          <t>Recherche Prix lot :</t>
        </is>
      </c>
    </row>
    <row r="15">
      <c r="A15" s="40" t="inlineStr">
        <is>
          <t>Lot à rechercher</t>
        </is>
      </c>
      <c r="B15" s="11" t="inlineStr">
        <is>
          <t>Plomberie</t>
        </is>
      </c>
    </row>
    <row r="16">
      <c r="A16" s="41" t="inlineStr">
        <is>
          <t>Prix base HT (€)</t>
        </is>
      </c>
      <c r="B16" s="42">
        <f>IFERROR(VLOOKUP(B15,A3:F12,3,0),"")</f>
        <v/>
      </c>
    </row>
    <row r="17">
      <c r="A17" s="41" t="inlineStr">
        <is>
          <t>TVA défaut</t>
        </is>
      </c>
      <c r="B17" s="43">
        <f>IFERROR(VLOOKUP(B15,A3:F12,4,0),"")</f>
        <v/>
      </c>
    </row>
    <row r="18">
      <c r="A18" s="41" t="inlineStr">
        <is>
          <t>Prix ajusté HT (€)</t>
        </is>
      </c>
      <c r="B18" s="42">
        <f>IFERROR(VLOOKUP(B15,A3:F12,6,0),"")</f>
        <v/>
      </c>
    </row>
    <row r="19">
      <c r="A19" s="44">
        <f>IF(IFERROR(VLOOKUP(B15,A3:F12,4,0),0)=0.055,"TVA réduite 5,5% applicable","TVA standard")</f>
        <v/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6" customWidth="1" min="1" max="1"/>
    <col width="55" customWidth="1" min="2" max="2"/>
    <col width="30" customWidth="1" min="3" max="3"/>
  </cols>
  <sheetData>
    <row r="1" ht="34" customHeight="1">
      <c r="A1" s="1" t="inlineStr">
        <is>
          <t>MODE D'EMPLOI — CHIFFRAGE DE TRAVAUX</t>
        </is>
      </c>
    </row>
    <row r="2" ht="18" customHeight="1">
      <c r="A2" s="45" t="inlineStr"/>
      <c r="B2" s="13" t="inlineStr"/>
    </row>
    <row r="3" ht="22" customHeight="1">
      <c r="A3" s="46" t="inlineStr">
        <is>
          <t>1.</t>
        </is>
      </c>
      <c r="B3" s="47" t="inlineStr">
        <is>
          <t>FEUILLE 1 — Devis_Travaux</t>
        </is>
      </c>
    </row>
    <row r="4" ht="18" customHeight="1">
      <c r="A4" s="45" t="inlineStr"/>
      <c r="B4" s="13" t="inlineStr">
        <is>
          <t>Cette feuille est le cœur du document. Saisissez vos données dans les cellules surlignées en JAUNE pâle.</t>
        </is>
      </c>
    </row>
    <row r="5" ht="18" customHeight="1">
      <c r="A5" s="45" t="inlineStr"/>
      <c r="B5" s="4" t="inlineStr">
        <is>
          <t>• N° ligne, Lot / Poste, Désignation, Unité : champs descriptifs (texte libre).</t>
        </is>
      </c>
    </row>
    <row r="6" ht="18" customHeight="1">
      <c r="A6" s="45" t="inlineStr"/>
      <c r="B6" s="13" t="inlineStr">
        <is>
          <t>• Quantité : nombre d'unités (m², u, ens, fft, ml…).</t>
        </is>
      </c>
    </row>
    <row r="7" ht="18" customHeight="1">
      <c r="A7" s="45" t="inlineStr"/>
      <c r="B7" s="4" t="inlineStr">
        <is>
          <t>• PU HT (€) : prix unitaire hors taxe en euros.</t>
        </is>
      </c>
    </row>
    <row r="8" ht="18" customHeight="1">
      <c r="A8" s="45" t="inlineStr"/>
      <c r="B8" s="13" t="inlineStr">
        <is>
          <t>• Remise % : pourcentage de remise commerciale (ex. : 5 % = saisir 5%).</t>
        </is>
      </c>
    </row>
    <row r="9" ht="18" customHeight="1">
      <c r="A9" s="45" t="inlineStr"/>
      <c r="B9" s="4" t="inlineStr">
        <is>
          <t>• TVA % : taux TVA applicable (voir tableau ci-dessous).</t>
        </is>
      </c>
    </row>
    <row r="10" ht="18" customHeight="1">
      <c r="A10" s="45" t="inlineStr"/>
      <c r="B10" s="13" t="inlineStr">
        <is>
          <t>• Statut : choisissez parmi À chiffrer / Validé / Réservé (liste déroulante).</t>
        </is>
      </c>
    </row>
    <row r="11" ht="18" customHeight="1">
      <c r="A11" s="45" t="inlineStr"/>
      <c r="B11" s="4" t="inlineStr">
        <is>
          <t>• Les colonnes Montant HT, Remise, TVA et TTC sont calculées automatiquement.</t>
        </is>
      </c>
    </row>
    <row r="12" ht="18" customHeight="1">
      <c r="A12" s="45" t="inlineStr"/>
      <c r="B12" s="13" t="inlineStr"/>
    </row>
    <row r="13" ht="22" customHeight="1">
      <c r="A13" s="46" t="inlineStr">
        <is>
          <t>2.</t>
        </is>
      </c>
      <c r="B13" s="47" t="inlineStr">
        <is>
          <t>TAUX DE TVA EN FRANCE (travaux — 2026)</t>
        </is>
      </c>
    </row>
    <row r="14" ht="18" customHeight="1">
      <c r="A14" s="45" t="inlineStr"/>
      <c r="B14" s="13" t="inlineStr">
        <is>
          <t>• 20 % — Taux normal (travaux neufs, locaux non destinés à l'habitation).</t>
        </is>
      </c>
    </row>
    <row r="15" ht="18" customHeight="1">
      <c r="A15" s="45" t="inlineStr"/>
      <c r="B15" s="4" t="inlineStr">
        <is>
          <t>• 10 % — Taux intermédiaire (travaux de rénovation dans logements &gt; 2 ans).</t>
        </is>
      </c>
    </row>
    <row r="16" ht="18" customHeight="1">
      <c r="A16" s="45" t="inlineStr"/>
      <c r="B16" s="13" t="inlineStr">
        <is>
          <t xml:space="preserve">• 5,5 % — Taux réduit (travaux d'amélioration énergétique éligibles : isolation, </t>
        </is>
      </c>
    </row>
    <row r="17" ht="18" customHeight="1">
      <c r="A17" s="45" t="inlineStr"/>
      <c r="B17" s="4" t="inlineStr">
        <is>
          <t xml:space="preserve">          pompes à chaleur, fenêtres à double vitrage, etc.).</t>
        </is>
      </c>
    </row>
    <row r="18" ht="18" customHeight="1">
      <c r="A18" s="45" t="inlineStr"/>
      <c r="B18" s="13" t="inlineStr"/>
    </row>
    <row r="19" ht="22" customHeight="1">
      <c r="A19" s="46" t="inlineStr">
        <is>
          <t>3.</t>
        </is>
      </c>
      <c r="B19" s="47" t="inlineStr">
        <is>
          <t>FEUILLE 2 — Bordereau_Récap</t>
        </is>
      </c>
    </row>
    <row r="20" ht="18" customHeight="1">
      <c r="A20" s="45" t="inlineStr"/>
      <c r="B20" s="13" t="inlineStr">
        <is>
          <t>Synthèse automatique par lot : totaux HT, remises, TVA, TTC et pourcentage du total.</t>
        </is>
      </c>
    </row>
    <row r="21" ht="18" customHeight="1">
      <c r="A21" s="45" t="inlineStr"/>
      <c r="B21" s="4" t="inlineStr">
        <is>
          <t>Les graphiques se mettent à jour automatiquement dès que les données changent.</t>
        </is>
      </c>
    </row>
    <row r="22" ht="18" customHeight="1">
      <c r="A22" s="45" t="inlineStr"/>
      <c r="B22" s="13" t="inlineStr">
        <is>
          <t>Le statut 'OK' indique que toutes les lignes du lot sont validées.</t>
        </is>
      </c>
    </row>
    <row r="23" ht="18" customHeight="1">
      <c r="A23" s="45" t="inlineStr"/>
      <c r="B23" s="4" t="inlineStr"/>
    </row>
    <row r="24" ht="22" customHeight="1">
      <c r="A24" s="46" t="inlineStr">
        <is>
          <t>4.</t>
        </is>
      </c>
      <c r="B24" s="47" t="inlineStr">
        <is>
          <t>FEUILLE 3 — Paramètres_Tarifs</t>
        </is>
      </c>
    </row>
    <row r="25" ht="18" customHeight="1">
      <c r="A25" s="45" t="inlineStr"/>
      <c r="B25" s="4" t="inlineStr">
        <is>
          <t>Table de référence des prix de base et coefficients de complexité par lot.</t>
        </is>
      </c>
    </row>
    <row r="26" ht="18" customHeight="1">
      <c r="A26" s="45" t="inlineStr"/>
      <c r="B26" s="13" t="inlineStr">
        <is>
          <t>Utilisez la zone de recherche (lignes 15-19) pour retrouver un prix par lot.</t>
        </is>
      </c>
    </row>
    <row r="27" ht="18" customHeight="1">
      <c r="A27" s="45" t="inlineStr"/>
      <c r="B27" s="4" t="inlineStr">
        <is>
          <t>Modifiez les Prix de base ou Coefficients pour adapter le tarif à votre contexte.</t>
        </is>
      </c>
    </row>
    <row r="28" ht="18" customHeight="1">
      <c r="A28" s="45" t="inlineStr"/>
      <c r="B28" s="13" t="inlineStr"/>
    </row>
    <row r="29" ht="22" customHeight="1">
      <c r="A29" s="46" t="inlineStr">
        <is>
          <t>5.</t>
        </is>
      </c>
      <c r="B29" s="47" t="inlineStr">
        <is>
          <t>CONSEILS DE CONTRÔLE</t>
        </is>
      </c>
    </row>
    <row r="30" ht="18" customHeight="1">
      <c r="A30" s="45" t="inlineStr"/>
      <c r="B30" s="13" t="inlineStr">
        <is>
          <t>✔ Vérifiez que le Statut de chaque ligne est renseigné (pas de ligne 'À chiffrer' oubliée).</t>
        </is>
      </c>
    </row>
    <row r="31" ht="18" customHeight="1">
      <c r="A31" s="45" t="inlineStr"/>
      <c r="B31" s="4" t="inlineStr">
        <is>
          <t>✔ Contrôlez la cohérence des unités (m², ml, u, ens, fft) avec les quantités.</t>
        </is>
      </c>
    </row>
    <row r="32" ht="18" customHeight="1">
      <c r="A32" s="45" t="inlineStr"/>
      <c r="B32" s="13" t="inlineStr">
        <is>
          <t>✔ Vérifiez les remises : une remise &gt; 20% doit être justifiée commercialement.</t>
        </is>
      </c>
    </row>
    <row r="33" ht="18" customHeight="1">
      <c r="A33" s="45" t="inlineStr"/>
      <c r="B33" s="4" t="inlineStr">
        <is>
          <t>✔ Comparez le Total TTC du Bordereau_Récap avec le Total TTC du Devis_Travaux.</t>
        </is>
      </c>
    </row>
    <row r="34" ht="18" customHeight="1">
      <c r="A34" s="45" t="inlineStr"/>
      <c r="B34" s="13" t="inlineStr">
        <is>
          <t>✔ Sauvegardez une copie avant toute modification importante.</t>
        </is>
      </c>
    </row>
    <row r="35" ht="18" customHeight="1">
      <c r="A35" s="45" t="inlineStr"/>
      <c r="B35" s="4" t="inlineStr"/>
    </row>
    <row r="36" ht="22" customHeight="1">
      <c r="A36" s="46" t="inlineStr">
        <is>
          <t>6.</t>
        </is>
      </c>
      <c r="B36" s="47" t="inlineStr">
        <is>
          <t>INFORMATIONS GÉNÉRALES</t>
        </is>
      </c>
    </row>
    <row r="37" ht="18" customHeight="1">
      <c r="A37" s="45" t="inlineStr"/>
      <c r="B37" s="4" t="inlineStr">
        <is>
          <t>• Tous les montants sont exprimés en euros (€) HT et TTC.</t>
        </is>
      </c>
    </row>
    <row r="38" ht="18" customHeight="1">
      <c r="A38" s="45" t="inlineStr"/>
      <c r="B38" s="13" t="inlineStr">
        <is>
          <t>• Le fichier n'est pas protégé : vous pouvez modifier toute cellule.</t>
        </is>
      </c>
    </row>
    <row r="39" ht="18" customHeight="1">
      <c r="A39" s="45" t="inlineStr"/>
      <c r="B39" s="4" t="inlineStr">
        <is>
          <t>• Aucune macro n'est utilisée : le fichier est compatible Excel et LibreOffice.</t>
        </is>
      </c>
    </row>
    <row r="40" ht="18" customHeight="1">
      <c r="A40" s="45" t="inlineStr"/>
      <c r="B40" s="13" t="inlineStr">
        <is>
          <t>• Dates au format JJ/MM/AAAA (norme française).</t>
        </is>
      </c>
    </row>
    <row r="41" ht="18" customHeight="1">
      <c r="A41" s="45" t="inlineStr"/>
      <c r="B41" s="4" t="inlineStr">
        <is>
          <t>• Document créé en juillet 2026.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2026-07-01T07:05:24Z</dcterms:created>
  <dcterms:modified xmlns:dcterms="http://purl.org/dc/terms/" xmlns:xsi="http://www.w3.org/2001/XMLSchema-instance" xsi:type="dcterms:W3CDTF">2026-07-01T07:05:24Z</dcterms:modified>
</cp:coreProperties>
</file>