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4.xml" ContentType="application/vnd.openxmlformats-officedocument.spreadsheetml.worksheet+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Mouvements de stock" sheetId="1" state="visible" r:id="rId1"/>
    <sheet xmlns:r="http://schemas.openxmlformats.org/officeDocument/2006/relationships" name="Référentiel articles" sheetId="2" state="visible" r:id="rId2"/>
    <sheet xmlns:r="http://schemas.openxmlformats.org/officeDocument/2006/relationships" name="Synthèse" sheetId="3" state="visible" r:id="rId3"/>
    <sheet xmlns:r="http://schemas.openxmlformats.org/officeDocument/2006/relationships" name="Mode d'emploi" sheetId="4" state="visible" r:id="rId4"/>
  </sheets>
  <definedNames/>
  <calcPr calcId="124519" fullCalcOnLoad="1"/>
</workbook>
</file>

<file path=xl/styles.xml><?xml version="1.0" encoding="utf-8"?>
<styleSheet xmlns="http://schemas.openxmlformats.org/spreadsheetml/2006/main">
  <numFmts count="3">
    <numFmt numFmtId="164" formatCode="DD/MM/YYYY"/>
    <numFmt numFmtId="165" formatCode="# ##0,00 €"/>
    <numFmt numFmtId="166" formatCode="0,0%"/>
  </numFmts>
  <fonts count="5">
    <font>
      <name val="Calibri"/>
      <family val="2"/>
      <color theme="1"/>
      <sz val="11"/>
      <scheme val="minor"/>
    </font>
    <font>
      <name val="Calibri"/>
      <b val="1"/>
      <color rgb="001E293B"/>
      <sz val="16"/>
    </font>
    <font>
      <name val="Calibri"/>
      <b val="1"/>
      <color rgb="00FFFFFF"/>
      <sz val="11"/>
    </font>
    <font>
      <name val="Calibri"/>
      <b val="1"/>
      <color rgb="001E293B"/>
      <sz val="11"/>
    </font>
    <font>
      <name val="Calibri"/>
      <color rgb="001E293B"/>
      <sz val="10.5"/>
    </font>
  </fonts>
  <fills count="9">
    <fill>
      <patternFill/>
    </fill>
    <fill>
      <patternFill patternType="gray125"/>
    </fill>
    <fill>
      <patternFill patternType="solid">
        <fgColor rgb="001E293B"/>
      </patternFill>
    </fill>
    <fill>
      <patternFill patternType="solid">
        <fgColor rgb="00F8FAFC"/>
      </patternFill>
    </fill>
    <fill>
      <patternFill patternType="solid">
        <fgColor rgb="00FFFBEB"/>
      </patternFill>
    </fill>
    <fill>
      <patternFill patternType="solid">
        <fgColor rgb="00FFFFFF"/>
      </patternFill>
    </fill>
    <fill>
      <patternFill patternType="solid">
        <fgColor rgb="00E2E8F0"/>
      </patternFill>
    </fill>
    <fill>
      <patternFill patternType="solid">
        <fgColor rgb="00C8102E"/>
      </patternFill>
    </fill>
    <fill>
      <patternFill patternType="solid">
        <fgColor rgb="00F0FDFA"/>
      </patternFill>
    </fill>
  </fills>
  <borders count="5">
    <border>
      <left/>
      <right/>
      <top/>
      <bottom/>
      <diagonal/>
    </border>
    <border>
      <left style="thin">
        <color rgb="00D1D5DB"/>
      </left>
      <right style="thin">
        <color rgb="00D1D5DB"/>
      </right>
      <top style="thin">
        <color rgb="00D1D5DB"/>
      </top>
      <bottom style="thin">
        <color rgb="00D1D5DB"/>
      </bottom>
    </border>
    <border>
      <left/>
      <right/>
      <top style="thin">
        <color rgb="00D1D5DB"/>
      </top>
      <bottom/>
      <diagonal/>
    </border>
    <border>
      <left/>
      <right style="thin">
        <color rgb="00D1D5DB"/>
      </right>
      <top style="thin">
        <color rgb="00D1D5DB"/>
      </top>
      <bottom/>
      <diagonal/>
    </border>
    <border>
      <left/>
      <right style="thin">
        <color rgb="00D1D5DB"/>
      </right>
      <top style="thin">
        <color rgb="00D1D5DB"/>
      </top>
      <bottom style="thin">
        <color rgb="00D1D5DB"/>
      </bottom>
      <diagonal/>
    </border>
  </borders>
  <cellStyleXfs count="1">
    <xf numFmtId="0" fontId="0" fillId="0" borderId="0"/>
  </cellStyleXfs>
  <cellXfs count="28">
    <xf numFmtId="0" fontId="0" fillId="0" borderId="0" pivotButton="0" quotePrefix="0" xfId="0"/>
    <xf numFmtId="0" fontId="1" fillId="0" borderId="0" applyAlignment="1" pivotButton="0" quotePrefix="0" xfId="0">
      <alignment horizontal="center" vertical="center"/>
    </xf>
    <xf numFmtId="0" fontId="2" fillId="2" borderId="1" applyAlignment="1" pivotButton="0" quotePrefix="0" xfId="0">
      <alignment horizontal="center" vertical="center" wrapText="1"/>
    </xf>
    <xf numFmtId="164" fontId="0" fillId="3" borderId="1" applyAlignment="1" pivotButton="0" quotePrefix="0" xfId="0">
      <alignment horizontal="center" vertical="center"/>
    </xf>
    <xf numFmtId="0" fontId="0" fillId="4" borderId="1" applyAlignment="1" pivotButton="0" quotePrefix="0" xfId="0">
      <alignment horizontal="center" vertical="center"/>
    </xf>
    <xf numFmtId="0" fontId="0" fillId="3" borderId="1" applyAlignment="1" pivotButton="0" quotePrefix="0" xfId="0">
      <alignment horizontal="center" vertical="center"/>
    </xf>
    <xf numFmtId="165" fontId="0" fillId="3" borderId="1" applyAlignment="1" pivotButton="0" quotePrefix="0" xfId="0">
      <alignment horizontal="center" vertical="center"/>
    </xf>
    <xf numFmtId="166" fontId="0" fillId="3" borderId="1" applyAlignment="1" pivotButton="0" quotePrefix="0" xfId="0">
      <alignment horizontal="center" vertical="center"/>
    </xf>
    <xf numFmtId="164" fontId="0" fillId="5" borderId="1" applyAlignment="1" pivotButton="0" quotePrefix="0" xfId="0">
      <alignment horizontal="center" vertical="center"/>
    </xf>
    <xf numFmtId="0" fontId="0" fillId="5" borderId="1" applyAlignment="1" pivotButton="0" quotePrefix="0" xfId="0">
      <alignment horizontal="center" vertical="center"/>
    </xf>
    <xf numFmtId="165" fontId="0" fillId="5" borderId="1" applyAlignment="1" pivotButton="0" quotePrefix="0" xfId="0">
      <alignment horizontal="center" vertical="center"/>
    </xf>
    <xf numFmtId="166" fontId="0" fillId="5" borderId="1" applyAlignment="1" pivotButton="0" quotePrefix="0" xfId="0">
      <alignment horizontal="center" vertical="center"/>
    </xf>
    <xf numFmtId="0" fontId="3" fillId="6" borderId="1" pivotButton="0" quotePrefix="0" xfId="0"/>
    <xf numFmtId="165" fontId="3" fillId="6" borderId="1" pivotButton="0" quotePrefix="0" xfId="0"/>
    <xf numFmtId="165" fontId="0" fillId="4" borderId="1" applyAlignment="1" pivotButton="0" quotePrefix="0" xfId="0">
      <alignment horizontal="center" vertical="center"/>
    </xf>
    <xf numFmtId="0" fontId="2" fillId="7" borderId="0" applyAlignment="1" pivotButton="0" quotePrefix="0" xfId="0">
      <alignment horizontal="center" vertical="center" wrapText="1"/>
    </xf>
    <xf numFmtId="0" fontId="0" fillId="7" borderId="0" pivotButton="0" quotePrefix="0" xfId="0"/>
    <xf numFmtId="0" fontId="3" fillId="0" borderId="1" pivotButton="0" quotePrefix="0" xfId="0"/>
    <xf numFmtId="0" fontId="0" fillId="0" borderId="4" pivotButton="0" quotePrefix="0" xfId="0"/>
    <xf numFmtId="0" fontId="0" fillId="8" borderId="1" applyAlignment="1" pivotButton="0" quotePrefix="0" xfId="0">
      <alignment horizontal="center"/>
    </xf>
    <xf numFmtId="166" fontId="0" fillId="8" borderId="1" applyAlignment="1" pivotButton="0" quotePrefix="0" xfId="0">
      <alignment horizontal="center"/>
    </xf>
    <xf numFmtId="165" fontId="0" fillId="8" borderId="1" applyAlignment="1" pivotButton="0" quotePrefix="0" xfId="0">
      <alignment horizontal="center"/>
    </xf>
    <xf numFmtId="0" fontId="0" fillId="3" borderId="1" applyAlignment="1" pivotButton="0" quotePrefix="0" xfId="0">
      <alignment horizontal="center"/>
    </xf>
    <xf numFmtId="165" fontId="0" fillId="3" borderId="1" applyAlignment="1" pivotButton="0" quotePrefix="0" xfId="0">
      <alignment horizontal="center"/>
    </xf>
    <xf numFmtId="0" fontId="0" fillId="5" borderId="1" applyAlignment="1" pivotButton="0" quotePrefix="0" xfId="0">
      <alignment horizontal="center"/>
    </xf>
    <xf numFmtId="165" fontId="0" fillId="5" borderId="1" applyAlignment="1" pivotButton="0" quotePrefix="0" xfId="0">
      <alignment horizontal="center"/>
    </xf>
    <xf numFmtId="0" fontId="2" fillId="7" borderId="0" applyAlignment="1" pivotButton="0" quotePrefix="0" xfId="0">
      <alignment horizontal="left" vertical="center"/>
    </xf>
    <xf numFmtId="0" fontId="4" fillId="3" borderId="0" applyAlignment="1" pivotButton="0" quotePrefix="0" xfId="0">
      <alignment horizontal="left" vertical="center" wrapText="1"/>
    </xf>
  </cellXfs>
  <cellStyles count="1">
    <cellStyle name="Normal" xfId="0" builtinId="0" hidden="0"/>
  </cellStyles>
  <dxfs count="2">
    <dxf>
      <font>
        <name val="Calibri"/>
        <b val="1"/>
        <color rgb="00DC2626"/>
        <sz val="11"/>
      </font>
      <fill>
        <patternFill patternType="solid">
          <fgColor rgb="00FEE2E2"/>
        </patternFill>
      </fill>
    </dxf>
    <dxf>
      <font>
        <name val="Calibri"/>
        <b val="1"/>
        <color rgb="0016A34A"/>
        <sz val="11"/>
      </font>
      <fill>
        <patternFill patternType="solid">
          <fgColor rgb="00DCFCE7"/>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styles" Target="styles.xml" Id="rId5"/><Relationship Type="http://schemas.openxmlformats.org/officeDocument/2006/relationships/theme" Target="theme/theme1.xml" Id="rId6"/></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Quantités entrées vs sorties par catégorie</a:t>
            </a:r>
          </a:p>
        </rich>
      </tx>
    </title>
    <plotArea>
      <barChart>
        <barDir val="col"/>
        <grouping val="clustered"/>
        <ser>
          <idx val="0"/>
          <order val="0"/>
          <tx>
            <strRef>
              <f>'Synthèse'!D16</f>
            </strRef>
          </tx>
          <spPr>
            <a:solidFill xmlns:a="http://schemas.openxmlformats.org/drawingml/2006/main">
              <a:srgbClr val="16A34A"/>
            </a:solidFill>
            <a:ln xmlns:a="http://schemas.openxmlformats.org/drawingml/2006/main">
              <a:prstDash val="solid"/>
            </a:ln>
          </spPr>
          <cat>
            <numRef>
              <f>'Synthèse'!$A$17:$A$20</f>
            </numRef>
          </cat>
          <val>
            <numRef>
              <f>'Synthèse'!$D$17:$D$20</f>
            </numRef>
          </val>
        </ser>
        <ser>
          <idx val="1"/>
          <order val="1"/>
          <tx>
            <strRef>
              <f>'Synthèse'!E16</f>
            </strRef>
          </tx>
          <spPr>
            <a:solidFill xmlns:a="http://schemas.openxmlformats.org/drawingml/2006/main">
              <a:srgbClr val="DC2626"/>
            </a:solidFill>
            <a:ln xmlns:a="http://schemas.openxmlformats.org/drawingml/2006/main">
              <a:prstDash val="solid"/>
            </a:ln>
          </spPr>
          <cat>
            <numRef>
              <f>'Synthèse'!$A$17:$A$20</f>
            </numRef>
          </cat>
          <val>
            <numRef>
              <f>'Synthèse'!$E$17:$E$20</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Catégorie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Quantité</a:t>
                </a:r>
              </a:p>
            </rich>
          </tx>
        </title>
        <majorTickMark val="none"/>
        <minorTickMark val="none"/>
        <crossAx val="10"/>
      </valAx>
    </plotArea>
    <legend>
      <legendPos val="r"/>
    </legend>
    <plotVisOnly val="1"/>
    <dispBlanksAs val="gap"/>
  </chart>
</chartSpace>
</file>

<file path=xl/charts/chart2.xml><?xml version="1.0" encoding="utf-8"?>
<chartSpace xmlns="http://schemas.openxmlformats.org/drawingml/2006/chart">
  <style val="12"/>
  <chart>
    <title>
      <tx>
        <rich>
          <a:bodyPr xmlns:a="http://schemas.openxmlformats.org/drawingml/2006/main"/>
          <a:p xmlns:a="http://schemas.openxmlformats.org/drawingml/2006/main">
            <a:pPr>
              <a:defRPr/>
            </a:pPr>
            <a:r>
              <a:t>Évolution du stock après mouvement</a:t>
            </a:r>
          </a:p>
        </rich>
      </tx>
    </title>
    <plotArea>
      <lineChart>
        <grouping val="standard"/>
        <ser>
          <idx val="0"/>
          <order val="0"/>
          <tx>
            <strRef>
              <f>'Mouvements de stock'!P2</f>
            </strRef>
          </tx>
          <spPr>
            <a:ln xmlns:a="http://schemas.openxmlformats.org/drawingml/2006/main">
              <a:prstDash val="solid"/>
            </a:ln>
          </spPr>
          <marker>
            <symbol val="none"/>
            <spPr>
              <a:ln xmlns:a="http://schemas.openxmlformats.org/drawingml/2006/main">
                <a:prstDash val="solid"/>
              </a:ln>
            </spPr>
          </marker>
          <cat>
            <numRef>
              <f>'Mouvements de stock'!$A$3:$A$12</f>
            </numRef>
          </cat>
          <val>
            <numRef>
              <f>'Mouvements de stock'!$P$3:$P$12</f>
            </numRef>
          </val>
        </ser>
        <axId val="10"/>
        <axId val="100"/>
      </lineChart>
      <catAx>
        <axId val="10"/>
        <scaling>
          <orientation val="minMax"/>
        </scaling>
        <axPos val="l"/>
        <title>
          <tx>
            <rich>
              <a:bodyPr xmlns:a="http://schemas.openxmlformats.org/drawingml/2006/main"/>
              <a:p xmlns:a="http://schemas.openxmlformats.org/drawingml/2006/main">
                <a:pPr>
                  <a:defRPr/>
                </a:pPr>
                <a:r>
                  <a:t>Date</a:t>
                </a:r>
              </a:p>
            </rich>
          </tx>
        </title>
        <majorTickMark val="none"/>
        <minorTickMark val="none"/>
        <crossAx val="100"/>
        <lblOffset val="100"/>
      </catAx>
      <valAx>
        <axId val="100"/>
        <scaling>
          <orientation val="minMax"/>
        </scaling>
        <axPos val="l"/>
        <majorGridlines/>
        <title>
          <tx>
            <rich>
              <a:bodyPr xmlns:a="http://schemas.openxmlformats.org/drawingml/2006/main"/>
              <a:p xmlns:a="http://schemas.openxmlformats.org/drawingml/2006/main">
                <a:pPr>
                  <a:defRPr/>
                </a:pPr>
                <a:r>
                  <a:t>Stock</a:t>
                </a:r>
              </a:p>
            </rich>
          </tx>
        </title>
        <majorTickMark val="none"/>
        <minorTickMark val="none"/>
        <crossAx val="10"/>
      </valAx>
    </plotArea>
    <legend>
      <legendPos val="r"/>
    </legend>
    <plotVisOnly val="1"/>
    <dispBlanksAs val="gap"/>
  </chart>
</chartSpace>
</file>

<file path=xl/charts/chart3.xml><?xml version="1.0" encoding="utf-8"?>
<chartSpace xmlns="http://schemas.openxmlformats.org/drawingml/2006/chart">
  <chart>
    <title>
      <tx>
        <rich>
          <a:bodyPr xmlns:a="http://schemas.openxmlformats.org/drawingml/2006/main"/>
          <a:p xmlns:a="http://schemas.openxmlformats.org/drawingml/2006/main">
            <a:pPr>
              <a:defRPr/>
            </a:pPr>
            <a:r>
              <a:t>Répartition de la valeur de stock par catégorie</a:t>
            </a:r>
          </a:p>
        </rich>
      </tx>
    </title>
    <plotArea>
      <pieChart>
        <varyColors val="1"/>
        <ser>
          <idx val="0"/>
          <order val="0"/>
          <tx>
            <strRef>
              <f>'Synthèse'!C16</f>
            </strRef>
          </tx>
          <spPr>
            <a:ln xmlns:a="http://schemas.openxmlformats.org/drawingml/2006/main">
              <a:prstDash val="solid"/>
            </a:ln>
          </spPr>
          <cat>
            <numRef>
              <f>'Synthèse'!$A$17:$A$20</f>
            </numRef>
          </cat>
          <val>
            <numRef>
              <f>'Synthèse'!$C$17:$C$20</f>
            </numRef>
          </val>
        </ser>
        <firstSliceAng val="0"/>
      </pieChart>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 Type="http://schemas.openxmlformats.org/officeDocument/2006/relationships/chart" Target="/xl/charts/chart2.xml" Id="rId2"/><Relationship Type="http://schemas.openxmlformats.org/officeDocument/2006/relationships/chart" Target="/xl/charts/chart3.xml" Id="rId3"/></Relationships>
</file>

<file path=xl/drawings/drawing1.xml><?xml version="1.0" encoding="utf-8"?>
<wsDr xmlns="http://schemas.openxmlformats.org/drawingml/2006/spreadsheetDrawing">
  <oneCellAnchor>
    <from>
      <col>6</col>
      <colOff>0</colOff>
      <row>3</row>
      <rowOff>0</rowOff>
    </from>
    <ext cx="5400000" cy="324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oneCellAnchor>
    <from>
      <col>6</col>
      <colOff>0</colOff>
      <row>19</row>
      <rowOff>0</rowOff>
    </from>
    <ext cx="5400000" cy="3240000"/>
    <graphicFrame>
      <nvGraphicFramePr>
        <cNvPr id="2" name="Chart 2"/>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2"/>
        </a:graphicData>
      </a:graphic>
    </graphicFrame>
    <clientData/>
  </oneCellAnchor>
  <oneCellAnchor>
    <from>
      <col>6</col>
      <colOff>0</colOff>
      <row>35</row>
      <rowOff>0</rowOff>
    </from>
    <ext cx="5400000" cy="3240000"/>
    <graphicFrame>
      <nvGraphicFramePr>
        <cNvPr id="3" name="Chart 3"/>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3"/>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R13"/>
  <sheetViews>
    <sheetView workbookViewId="0">
      <pane ySplit="2" topLeftCell="A3" activePane="bottomLeft" state="frozen"/>
      <selection pane="bottomLeft" activeCell="A1" sqref="A1"/>
    </sheetView>
  </sheetViews>
  <sheetFormatPr baseColWidth="8" defaultRowHeight="15"/>
  <cols>
    <col width="12" customWidth="1" min="1" max="1"/>
    <col width="14" customWidth="1" min="2" max="2"/>
    <col width="20" customWidth="1" min="3" max="3"/>
    <col width="16" customWidth="1" min="4" max="4"/>
    <col width="16" customWidth="1" min="5" max="5"/>
    <col width="15" customWidth="1" min="6" max="6"/>
    <col width="10" customWidth="1" min="7" max="7"/>
    <col width="14" customWidth="1" min="8" max="8"/>
    <col width="13" customWidth="1" min="9" max="9"/>
    <col width="8" customWidth="1" min="10" max="10"/>
    <col width="12" customWidth="1" min="11" max="11"/>
    <col width="13" customWidth="1" min="12" max="12"/>
    <col width="24" customWidth="1" min="13" max="13"/>
    <col width="15" customWidth="1" min="14" max="14"/>
    <col width="12" customWidth="1" min="15" max="15"/>
    <col width="16" customWidth="1" min="16" max="16"/>
    <col width="12" customWidth="1" min="17" max="17"/>
    <col width="12" customWidth="1" min="18" max="18"/>
  </cols>
  <sheetData>
    <row r="1" ht="28" customHeight="1">
      <c r="A1" s="1" t="inlineStr">
        <is>
          <t>GESTION DE STOCK - MOUVEMENTS ENTRÉES / SORTIES</t>
        </is>
      </c>
    </row>
    <row r="2" ht="40" customHeight="1">
      <c r="A2" s="2" t="inlineStr">
        <is>
          <t>Date</t>
        </is>
      </c>
      <c r="B2" s="2" t="inlineStr">
        <is>
          <t>Référence article</t>
        </is>
      </c>
      <c r="C2" s="2" t="inlineStr">
        <is>
          <t>Désignation</t>
        </is>
      </c>
      <c r="D2" s="2" t="inlineStr">
        <is>
          <t>Catégorie</t>
        </is>
      </c>
      <c r="E2" s="2" t="inlineStr">
        <is>
          <t>Site / Entrepôt</t>
        </is>
      </c>
      <c r="F2" s="2" t="inlineStr">
        <is>
          <t>Type de mouvement</t>
        </is>
      </c>
      <c r="G2" s="2" t="inlineStr">
        <is>
          <t>Quantité</t>
        </is>
      </c>
      <c r="H2" s="2" t="inlineStr">
        <is>
          <t>Prix unitaire HT</t>
        </is>
      </c>
      <c r="I2" s="2" t="inlineStr">
        <is>
          <t>Montant HT</t>
        </is>
      </c>
      <c r="J2" s="2" t="inlineStr">
        <is>
          <t>TVA %</t>
        </is>
      </c>
      <c r="K2" s="2" t="inlineStr">
        <is>
          <t>Montant TVA</t>
        </is>
      </c>
      <c r="L2" s="2" t="inlineStr">
        <is>
          <t>Montant TTC</t>
        </is>
      </c>
      <c r="M2" s="2" t="inlineStr">
        <is>
          <t>Fournisseur / Client</t>
        </is>
      </c>
      <c r="N2" s="2" t="inlineStr">
        <is>
          <t>N° de document</t>
        </is>
      </c>
      <c r="O2" s="2" t="inlineStr">
        <is>
          <t>Stock initial</t>
        </is>
      </c>
      <c r="P2" s="2" t="inlineStr">
        <is>
          <t>Stock après mouvement</t>
        </is>
      </c>
      <c r="Q2" s="2" t="inlineStr">
        <is>
          <t>Seuil d'alerte</t>
        </is>
      </c>
      <c r="R2" s="2" t="inlineStr">
        <is>
          <t>Statut stock</t>
        </is>
      </c>
    </row>
    <row r="3">
      <c r="A3" s="3" t="inlineStr">
        <is>
          <t>02/01/2026</t>
        </is>
      </c>
      <c r="B3" s="4" t="inlineStr">
        <is>
          <t>PAP-001</t>
        </is>
      </c>
      <c r="C3" s="5">
        <f>IFERROR(VLOOKUP($B3,'Référentiel articles'!$A$3:$K$12,2,FALSE),"")</f>
        <v/>
      </c>
      <c r="D3" s="5">
        <f>IFERROR(VLOOKUP($B3,'Référentiel articles'!$A$3:$K$12,3,FALSE),"")</f>
        <v/>
      </c>
      <c r="E3" s="4" t="inlineStr">
        <is>
          <t>Entrepôt A</t>
        </is>
      </c>
      <c r="F3" s="4" t="inlineStr">
        <is>
          <t>Entrée</t>
        </is>
      </c>
      <c r="G3" s="4" t="n">
        <v>500</v>
      </c>
      <c r="H3" s="6">
        <f>IFERROR(VLOOKUP($B3,'Référentiel articles'!$A$3:$K$12,6,FALSE),0)</f>
        <v/>
      </c>
      <c r="I3" s="6">
        <f>G3*H3</f>
        <v/>
      </c>
      <c r="J3" s="7">
        <f>IFERROR(VLOOKUP($B3,'Référentiel articles'!$A$3:$K$12,7,FALSE),0)</f>
        <v/>
      </c>
      <c r="K3" s="6">
        <f>I3*J3</f>
        <v/>
      </c>
      <c r="L3" s="6">
        <f>I3+K3</f>
        <v/>
      </c>
      <c r="M3" s="4" t="inlineStr">
        <is>
          <t>Fournisseur Paris SAS</t>
        </is>
      </c>
      <c r="N3" s="4" t="inlineStr">
        <is>
          <t>BL-2026-001</t>
        </is>
      </c>
      <c r="O3" s="4" t="n">
        <v>150</v>
      </c>
      <c r="P3" s="5">
        <f>IF(F3="Sortie",O3-G3,O3+G3)</f>
        <v/>
      </c>
      <c r="Q3" s="5">
        <f>IFERROR(VLOOKUP($B3,'Référentiel articles'!$A$3:$K$12,11,FALSE),0)</f>
        <v/>
      </c>
      <c r="R3" s="5">
        <f>IF(P3&lt;=Q3,"Alerte","OK")</f>
        <v/>
      </c>
    </row>
    <row r="4">
      <c r="A4" s="8" t="inlineStr">
        <is>
          <t>03/01/2026</t>
        </is>
      </c>
      <c r="B4" s="4" t="inlineStr">
        <is>
          <t>TON-002</t>
        </is>
      </c>
      <c r="C4" s="9">
        <f>IFERROR(VLOOKUP($B4,'Référentiel articles'!$A$3:$K$12,2,FALSE),"")</f>
        <v/>
      </c>
      <c r="D4" s="9">
        <f>IFERROR(VLOOKUP($B4,'Référentiel articles'!$A$3:$K$12,3,FALSE),"")</f>
        <v/>
      </c>
      <c r="E4" s="4" t="inlineStr">
        <is>
          <t>Entrepôt A</t>
        </is>
      </c>
      <c r="F4" s="4" t="inlineStr">
        <is>
          <t>Sortie</t>
        </is>
      </c>
      <c r="G4" s="4" t="n">
        <v>12</v>
      </c>
      <c r="H4" s="10">
        <f>IFERROR(VLOOKUP($B4,'Référentiel articles'!$A$3:$K$12,6,FALSE),0)</f>
        <v/>
      </c>
      <c r="I4" s="10">
        <f>G4*H4</f>
        <v/>
      </c>
      <c r="J4" s="11">
        <f>IFERROR(VLOOKUP($B4,'Référentiel articles'!$A$3:$K$12,7,FALSE),0)</f>
        <v/>
      </c>
      <c r="K4" s="10">
        <f>I4*J4</f>
        <v/>
      </c>
      <c r="L4" s="10">
        <f>I4+K4</f>
        <v/>
      </c>
      <c r="M4" s="4" t="inlineStr">
        <is>
          <t>Client Lyon Services</t>
        </is>
      </c>
      <c r="N4" s="4" t="inlineStr">
        <is>
          <t>FAC-2026-014</t>
        </is>
      </c>
      <c r="O4" s="4" t="n">
        <v>40</v>
      </c>
      <c r="P4" s="9">
        <f>IF(F4="Sortie",O4-G4,O4+G4)</f>
        <v/>
      </c>
      <c r="Q4" s="9">
        <f>IFERROR(VLOOKUP($B4,'Référentiel articles'!$A$3:$K$12,11,FALSE),0)</f>
        <v/>
      </c>
      <c r="R4" s="9">
        <f>IF(P4&lt;=Q4,"Alerte","OK")</f>
        <v/>
      </c>
    </row>
    <row r="5">
      <c r="A5" s="3" t="inlineStr">
        <is>
          <t>05/01/2026</t>
        </is>
      </c>
      <c r="B5" s="4" t="inlineStr">
        <is>
          <t>CHA-003</t>
        </is>
      </c>
      <c r="C5" s="5">
        <f>IFERROR(VLOOKUP($B5,'Référentiel articles'!$A$3:$K$12,2,FALSE),"")</f>
        <v/>
      </c>
      <c r="D5" s="5">
        <f>IFERROR(VLOOKUP($B5,'Référentiel articles'!$A$3:$K$12,3,FALSE),"")</f>
        <v/>
      </c>
      <c r="E5" s="4" t="inlineStr">
        <is>
          <t>Entrepôt B</t>
        </is>
      </c>
      <c r="F5" s="4" t="inlineStr">
        <is>
          <t>Entrée</t>
        </is>
      </c>
      <c r="G5" s="4" t="n">
        <v>24</v>
      </c>
      <c r="H5" s="6">
        <f>IFERROR(VLOOKUP($B5,'Référentiel articles'!$A$3:$K$12,6,FALSE),0)</f>
        <v/>
      </c>
      <c r="I5" s="6">
        <f>G5*H5</f>
        <v/>
      </c>
      <c r="J5" s="7">
        <f>IFERROR(VLOOKUP($B5,'Référentiel articles'!$A$3:$K$12,7,FALSE),0)</f>
        <v/>
      </c>
      <c r="K5" s="6">
        <f>I5*J5</f>
        <v/>
      </c>
      <c r="L5" s="6">
        <f>I5+K5</f>
        <v/>
      </c>
      <c r="M5" s="4" t="inlineStr">
        <is>
          <t>Fournisseur Lille Mobilier</t>
        </is>
      </c>
      <c r="N5" s="4" t="inlineStr">
        <is>
          <t>BL-2026-002</t>
        </is>
      </c>
      <c r="O5" s="4" t="n">
        <v>10</v>
      </c>
      <c r="P5" s="5">
        <f>IF(F5="Sortie",O5-G5,O5+G5)</f>
        <v/>
      </c>
      <c r="Q5" s="5">
        <f>IFERROR(VLOOKUP($B5,'Référentiel articles'!$A$3:$K$12,11,FALSE),0)</f>
        <v/>
      </c>
      <c r="R5" s="5">
        <f>IF(P5&lt;=Q5,"Alerte","OK")</f>
        <v/>
      </c>
    </row>
    <row r="6">
      <c r="A6" s="8" t="inlineStr">
        <is>
          <t>06/01/2026</t>
        </is>
      </c>
      <c r="B6" s="4" t="inlineStr">
        <is>
          <t>CLE-004</t>
        </is>
      </c>
      <c r="C6" s="9">
        <f>IFERROR(VLOOKUP($B6,'Référentiel articles'!$A$3:$K$12,2,FALSE),"")</f>
        <v/>
      </c>
      <c r="D6" s="9">
        <f>IFERROR(VLOOKUP($B6,'Référentiel articles'!$A$3:$K$12,3,FALSE),"")</f>
        <v/>
      </c>
      <c r="E6" s="4" t="inlineStr">
        <is>
          <t>Entrepôt A</t>
        </is>
      </c>
      <c r="F6" s="4" t="inlineStr">
        <is>
          <t>Sortie</t>
        </is>
      </c>
      <c r="G6" s="4" t="n">
        <v>40</v>
      </c>
      <c r="H6" s="10">
        <f>IFERROR(VLOOKUP($B6,'Référentiel articles'!$A$3:$K$12,6,FALSE),0)</f>
        <v/>
      </c>
      <c r="I6" s="10">
        <f>G6*H6</f>
        <v/>
      </c>
      <c r="J6" s="11">
        <f>IFERROR(VLOOKUP($B6,'Référentiel articles'!$A$3:$K$12,7,FALSE),0)</f>
        <v/>
      </c>
      <c r="K6" s="10">
        <f>I6*J6</f>
        <v/>
      </c>
      <c r="L6" s="10">
        <f>I6+K6</f>
        <v/>
      </c>
      <c r="M6" s="4" t="inlineStr">
        <is>
          <t>Client Marseille Info</t>
        </is>
      </c>
      <c r="N6" s="4" t="inlineStr">
        <is>
          <t>FAC-2026-015</t>
        </is>
      </c>
      <c r="O6" s="4" t="n">
        <v>80</v>
      </c>
      <c r="P6" s="9">
        <f>IF(F6="Sortie",O6-G6,O6+G6)</f>
        <v/>
      </c>
      <c r="Q6" s="9">
        <f>IFERROR(VLOOKUP($B6,'Référentiel articles'!$A$3:$K$12,11,FALSE),0)</f>
        <v/>
      </c>
      <c r="R6" s="9">
        <f>IF(P6&lt;=Q6,"Alerte","OK")</f>
        <v/>
      </c>
    </row>
    <row r="7">
      <c r="A7" s="3" t="inlineStr">
        <is>
          <t>08/01/2026</t>
        </is>
      </c>
      <c r="B7" s="4" t="inlineStr">
        <is>
          <t>CAF-005</t>
        </is>
      </c>
      <c r="C7" s="5">
        <f>IFERROR(VLOOKUP($B7,'Référentiel articles'!$A$3:$K$12,2,FALSE),"")</f>
        <v/>
      </c>
      <c r="D7" s="5">
        <f>IFERROR(VLOOKUP($B7,'Référentiel articles'!$A$3:$K$12,3,FALSE),"")</f>
        <v/>
      </c>
      <c r="E7" s="4" t="inlineStr">
        <is>
          <t>Entrepôt A</t>
        </is>
      </c>
      <c r="F7" s="4" t="inlineStr">
        <is>
          <t>Entrée</t>
        </is>
      </c>
      <c r="G7" s="4" t="n">
        <v>30</v>
      </c>
      <c r="H7" s="6">
        <f>IFERROR(VLOOKUP($B7,'Référentiel articles'!$A$3:$K$12,6,FALSE),0)</f>
        <v/>
      </c>
      <c r="I7" s="6">
        <f>G7*H7</f>
        <v/>
      </c>
      <c r="J7" s="7">
        <f>IFERROR(VLOOKUP($B7,'Référentiel articles'!$A$3:$K$12,7,FALSE),0)</f>
        <v/>
      </c>
      <c r="K7" s="6">
        <f>I7*J7</f>
        <v/>
      </c>
      <c r="L7" s="6">
        <f>I7+K7</f>
        <v/>
      </c>
      <c r="M7" s="4" t="inlineStr">
        <is>
          <t>Fournisseur Nantes Consommables</t>
        </is>
      </c>
      <c r="N7" s="4" t="inlineStr">
        <is>
          <t>BL-2026-003</t>
        </is>
      </c>
      <c r="O7" s="4" t="n">
        <v>20</v>
      </c>
      <c r="P7" s="5">
        <f>IF(F7="Sortie",O7-G7,O7+G7)</f>
        <v/>
      </c>
      <c r="Q7" s="5">
        <f>IFERROR(VLOOKUP($B7,'Référentiel articles'!$A$3:$K$12,11,FALSE),0)</f>
        <v/>
      </c>
      <c r="R7" s="5">
        <f>IF(P7&lt;=Q7,"Alerte","OK")</f>
        <v/>
      </c>
    </row>
    <row r="8">
      <c r="A8" s="8" t="inlineStr">
        <is>
          <t>10/01/2026</t>
        </is>
      </c>
      <c r="B8" s="4" t="inlineStr">
        <is>
          <t>TAB-006</t>
        </is>
      </c>
      <c r="C8" s="9">
        <f>IFERROR(VLOOKUP($B8,'Référentiel articles'!$A$3:$K$12,2,FALSE),"")</f>
        <v/>
      </c>
      <c r="D8" s="9">
        <f>IFERROR(VLOOKUP($B8,'Référentiel articles'!$A$3:$K$12,3,FALSE),"")</f>
        <v/>
      </c>
      <c r="E8" s="4" t="inlineStr">
        <is>
          <t>Entrepôt B</t>
        </is>
      </c>
      <c r="F8" s="4" t="inlineStr">
        <is>
          <t>Sortie</t>
        </is>
      </c>
      <c r="G8" s="4" t="n">
        <v>8</v>
      </c>
      <c r="H8" s="10">
        <f>IFERROR(VLOOKUP($B8,'Référentiel articles'!$A$3:$K$12,6,FALSE),0)</f>
        <v/>
      </c>
      <c r="I8" s="10">
        <f>G8*H8</f>
        <v/>
      </c>
      <c r="J8" s="11">
        <f>IFERROR(VLOOKUP($B8,'Référentiel articles'!$A$3:$K$12,7,FALSE),0)</f>
        <v/>
      </c>
      <c r="K8" s="10">
        <f>I8*J8</f>
        <v/>
      </c>
      <c r="L8" s="10">
        <f>I8+K8</f>
        <v/>
      </c>
      <c r="M8" s="4" t="inlineStr">
        <is>
          <t>Client Toulouse Bureau</t>
        </is>
      </c>
      <c r="N8" s="4" t="inlineStr">
        <is>
          <t>FAC-2026-016</t>
        </is>
      </c>
      <c r="O8" s="4" t="n">
        <v>15</v>
      </c>
      <c r="P8" s="9">
        <f>IF(F8="Sortie",O8-G8,O8+G8)</f>
        <v/>
      </c>
      <c r="Q8" s="9">
        <f>IFERROR(VLOOKUP($B8,'Référentiel articles'!$A$3:$K$12,11,FALSE),0)</f>
        <v/>
      </c>
      <c r="R8" s="9">
        <f>IF(P8&lt;=Q8,"Alerte","OK")</f>
        <v/>
      </c>
    </row>
    <row r="9">
      <c r="A9" s="3" t="inlineStr">
        <is>
          <t>12/01/2026</t>
        </is>
      </c>
      <c r="B9" s="4" t="inlineStr">
        <is>
          <t>ECR-007</t>
        </is>
      </c>
      <c r="C9" s="5">
        <f>IFERROR(VLOOKUP($B9,'Référentiel articles'!$A$3:$K$12,2,FALSE),"")</f>
        <v/>
      </c>
      <c r="D9" s="5">
        <f>IFERROR(VLOOKUP($B9,'Référentiel articles'!$A$3:$K$12,3,FALSE),"")</f>
        <v/>
      </c>
      <c r="E9" s="4" t="inlineStr">
        <is>
          <t>Entrepôt A</t>
        </is>
      </c>
      <c r="F9" s="4" t="inlineStr">
        <is>
          <t>Entrée</t>
        </is>
      </c>
      <c r="G9" s="4" t="n">
        <v>15</v>
      </c>
      <c r="H9" s="6">
        <f>IFERROR(VLOOKUP($B9,'Référentiel articles'!$A$3:$K$12,6,FALSE),0)</f>
        <v/>
      </c>
      <c r="I9" s="6">
        <f>G9*H9</f>
        <v/>
      </c>
      <c r="J9" s="7">
        <f>IFERROR(VLOOKUP($B9,'Référentiel articles'!$A$3:$K$12,7,FALSE),0)</f>
        <v/>
      </c>
      <c r="K9" s="6">
        <f>I9*J9</f>
        <v/>
      </c>
      <c r="L9" s="6">
        <f>I9+K9</f>
        <v/>
      </c>
      <c r="M9" s="4" t="inlineStr">
        <is>
          <t>Fournisseur Bordeaux Informatique</t>
        </is>
      </c>
      <c r="N9" s="4" t="inlineStr">
        <is>
          <t>BL-2026-004</t>
        </is>
      </c>
      <c r="O9" s="4" t="n">
        <v>5</v>
      </c>
      <c r="P9" s="5">
        <f>IF(F9="Sortie",O9-G9,O9+G9)</f>
        <v/>
      </c>
      <c r="Q9" s="5">
        <f>IFERROR(VLOOKUP($B9,'Référentiel articles'!$A$3:$K$12,11,FALSE),0)</f>
        <v/>
      </c>
      <c r="R9" s="5">
        <f>IF(P9&lt;=Q9,"Alerte","OK")</f>
        <v/>
      </c>
    </row>
    <row r="10">
      <c r="A10" s="8" t="inlineStr">
        <is>
          <t>14/01/2026</t>
        </is>
      </c>
      <c r="B10" s="4" t="inlineStr">
        <is>
          <t>CAB-008</t>
        </is>
      </c>
      <c r="C10" s="9">
        <f>IFERROR(VLOOKUP($B10,'Référentiel articles'!$A$3:$K$12,2,FALSE),"")</f>
        <v/>
      </c>
      <c r="D10" s="9">
        <f>IFERROR(VLOOKUP($B10,'Référentiel articles'!$A$3:$K$12,3,FALSE),"")</f>
        <v/>
      </c>
      <c r="E10" s="4" t="inlineStr">
        <is>
          <t>Entrepôt A</t>
        </is>
      </c>
      <c r="F10" s="4" t="inlineStr">
        <is>
          <t>Sortie</t>
        </is>
      </c>
      <c r="G10" s="4" t="n">
        <v>25</v>
      </c>
      <c r="H10" s="10">
        <f>IFERROR(VLOOKUP($B10,'Référentiel articles'!$A$3:$K$12,6,FALSE),0)</f>
        <v/>
      </c>
      <c r="I10" s="10">
        <f>G10*H10</f>
        <v/>
      </c>
      <c r="J10" s="11">
        <f>IFERROR(VLOOKUP($B10,'Référentiel articles'!$A$3:$K$12,7,FALSE),0)</f>
        <v/>
      </c>
      <c r="K10" s="10">
        <f>I10*J10</f>
        <v/>
      </c>
      <c r="L10" s="10">
        <f>I10+K10</f>
        <v/>
      </c>
      <c r="M10" s="4" t="inlineStr">
        <is>
          <t>Client Rennes Réseaux</t>
        </is>
      </c>
      <c r="N10" s="4" t="inlineStr">
        <is>
          <t>FAC-2026-017</t>
        </is>
      </c>
      <c r="O10" s="4" t="n">
        <v>60</v>
      </c>
      <c r="P10" s="9">
        <f>IF(F10="Sortie",O10-G10,O10+G10)</f>
        <v/>
      </c>
      <c r="Q10" s="9">
        <f>IFERROR(VLOOKUP($B10,'Référentiel articles'!$A$3:$K$12,11,FALSE),0)</f>
        <v/>
      </c>
      <c r="R10" s="9">
        <f>IF(P10&lt;=Q10,"Alerte","OK")</f>
        <v/>
      </c>
    </row>
    <row r="11">
      <c r="A11" s="3" t="inlineStr">
        <is>
          <t>16/01/2026</t>
        </is>
      </c>
      <c r="B11" s="4" t="inlineStr">
        <is>
          <t>CLI-009</t>
        </is>
      </c>
      <c r="C11" s="5">
        <f>IFERROR(VLOOKUP($B11,'Référentiel articles'!$A$3:$K$12,2,FALSE),"")</f>
        <v/>
      </c>
      <c r="D11" s="5">
        <f>IFERROR(VLOOKUP($B11,'Référentiel articles'!$A$3:$K$12,3,FALSE),"")</f>
        <v/>
      </c>
      <c r="E11" s="4" t="inlineStr">
        <is>
          <t>Site Strasbourg</t>
        </is>
      </c>
      <c r="F11" s="4" t="inlineStr">
        <is>
          <t>Ajustement</t>
        </is>
      </c>
      <c r="G11" s="4" t="n">
        <v>5</v>
      </c>
      <c r="H11" s="6">
        <f>IFERROR(VLOOKUP($B11,'Référentiel articles'!$A$3:$K$12,6,FALSE),0)</f>
        <v/>
      </c>
      <c r="I11" s="6">
        <f>G11*H11</f>
        <v/>
      </c>
      <c r="J11" s="7">
        <f>IFERROR(VLOOKUP($B11,'Référentiel articles'!$A$3:$K$12,7,FALSE),0)</f>
        <v/>
      </c>
      <c r="K11" s="6">
        <f>I11*J11</f>
        <v/>
      </c>
      <c r="L11" s="6">
        <f>I11+K11</f>
        <v/>
      </c>
      <c r="M11" s="4" t="inlineStr">
        <is>
          <t>Inventaire Strasbourg</t>
        </is>
      </c>
      <c r="N11" s="4" t="inlineStr">
        <is>
          <t>AJ-2026-001</t>
        </is>
      </c>
      <c r="O11" s="4" t="n">
        <v>45</v>
      </c>
      <c r="P11" s="5">
        <f>IF(F11="Sortie",O11-G11,O11+G11)</f>
        <v/>
      </c>
      <c r="Q11" s="5">
        <f>IFERROR(VLOOKUP($B11,'Référentiel articles'!$A$3:$K$12,11,FALSE),0)</f>
        <v/>
      </c>
      <c r="R11" s="5">
        <f>IF(P11&lt;=Q11,"Alerte","OK")</f>
        <v/>
      </c>
    </row>
    <row r="12">
      <c r="A12" s="8" t="inlineStr">
        <is>
          <t>18/01/2026</t>
        </is>
      </c>
      <c r="B12" s="4" t="inlineStr">
        <is>
          <t>RAM-010</t>
        </is>
      </c>
      <c r="C12" s="9">
        <f>IFERROR(VLOOKUP($B12,'Référentiel articles'!$A$3:$K$12,2,FALSE),"")</f>
        <v/>
      </c>
      <c r="D12" s="9">
        <f>IFERROR(VLOOKUP($B12,'Référentiel articles'!$A$3:$K$12,3,FALSE),"")</f>
        <v/>
      </c>
      <c r="E12" s="4" t="inlineStr">
        <is>
          <t>Entrepôt A</t>
        </is>
      </c>
      <c r="F12" s="4" t="inlineStr">
        <is>
          <t>Entrée</t>
        </is>
      </c>
      <c r="G12" s="4" t="n">
        <v>200</v>
      </c>
      <c r="H12" s="10">
        <f>IFERROR(VLOOKUP($B12,'Référentiel articles'!$A$3:$K$12,6,FALSE),0)</f>
        <v/>
      </c>
      <c r="I12" s="10">
        <f>G12*H12</f>
        <v/>
      </c>
      <c r="J12" s="11">
        <f>IFERROR(VLOOKUP($B12,'Référentiel articles'!$A$3:$K$12,7,FALSE),0)</f>
        <v/>
      </c>
      <c r="K12" s="10">
        <f>I12*J12</f>
        <v/>
      </c>
      <c r="L12" s="10">
        <f>I12+K12</f>
        <v/>
      </c>
      <c r="M12" s="4" t="inlineStr">
        <is>
          <t>Fournisseur Montpellier Papeterie</t>
        </is>
      </c>
      <c r="N12" s="4" t="inlineStr">
        <is>
          <t>BL-2026-005</t>
        </is>
      </c>
      <c r="O12" s="4" t="n">
        <v>300</v>
      </c>
      <c r="P12" s="9">
        <f>IF(F12="Sortie",O12-G12,O12+G12)</f>
        <v/>
      </c>
      <c r="Q12" s="9">
        <f>IFERROR(VLOOKUP($B12,'Référentiel articles'!$A$3:$K$12,11,FALSE),0)</f>
        <v/>
      </c>
      <c r="R12" s="9">
        <f>IF(P12&lt;=Q12,"Alerte","OK")</f>
        <v/>
      </c>
    </row>
    <row r="13">
      <c r="F13" s="12" t="inlineStr">
        <is>
          <t>TOTAUX</t>
        </is>
      </c>
      <c r="G13" s="12">
        <f>SUM(G3:G12)</f>
        <v/>
      </c>
      <c r="I13" s="13">
        <f>SUM(I3:I12)</f>
        <v/>
      </c>
      <c r="K13" s="13">
        <f>SUM(K3:K12)</f>
        <v/>
      </c>
      <c r="L13" s="13">
        <f>SUM(L3:L12)</f>
        <v/>
      </c>
    </row>
  </sheetData>
  <mergeCells count="1">
    <mergeCell ref="A1:R1"/>
  </mergeCells>
  <conditionalFormatting sqref="R3:R12">
    <cfRule type="expression" priority="1" dxfId="0" stopIfTrue="1">
      <formula>R3="Alerte"</formula>
    </cfRule>
    <cfRule type="expression" priority="2" dxfId="1" stopIfTrue="1">
      <formula>R3="OK"</formula>
    </cfRule>
  </conditionalFormatting>
  <dataValidations count="1">
    <dataValidation sqref="F3:F12" showErrorMessage="1" showInputMessage="1" allowBlank="0" type="list">
      <formula1>"Entrée,Sortie,Ajustement"</formula1>
    </dataValidation>
  </dataValidation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2"/>
  <sheetViews>
    <sheetView workbookViewId="0">
      <pane ySplit="2" topLeftCell="A3" activePane="bottomLeft" state="frozen"/>
      <selection pane="bottomLeft" activeCell="A1" sqref="A1"/>
    </sheetView>
  </sheetViews>
  <sheetFormatPr baseColWidth="8" defaultRowHeight="15"/>
  <cols>
    <col width="16" customWidth="1" min="1" max="1"/>
    <col width="20" customWidth="1" min="2" max="2"/>
    <col width="18" customWidth="1" min="3" max="3"/>
    <col width="10" customWidth="1" min="4" max="4"/>
    <col width="22" customWidth="1" min="5" max="5"/>
    <col width="18" customWidth="1" min="6" max="6"/>
    <col width="9" customWidth="1" min="7" max="7"/>
    <col width="13" customWidth="1" min="8" max="8"/>
    <col width="14" customWidth="1" min="9" max="9"/>
    <col width="22" customWidth="1" min="10" max="10"/>
    <col width="16" customWidth="1" min="11" max="11"/>
  </cols>
  <sheetData>
    <row r="1" ht="26" customHeight="1">
      <c r="A1" s="1" t="inlineStr">
        <is>
          <t>RÉFÉRENTIEL ARTICLES</t>
        </is>
      </c>
    </row>
    <row r="2" ht="40" customHeight="1">
      <c r="A2" s="2" t="inlineStr">
        <is>
          <t>Référence article</t>
        </is>
      </c>
      <c r="B2" s="2" t="inlineStr">
        <is>
          <t>Désignation</t>
        </is>
      </c>
      <c r="C2" s="2" t="inlineStr">
        <is>
          <t>Catégorie</t>
        </is>
      </c>
      <c r="D2" s="2" t="inlineStr">
        <is>
          <t>Unité</t>
        </is>
      </c>
      <c r="E2" s="2" t="inlineStr">
        <is>
          <t>Fournisseur principal</t>
        </is>
      </c>
      <c r="F2" s="2" t="inlineStr">
        <is>
          <t>Prix d'achat HT standard</t>
        </is>
      </c>
      <c r="G2" s="2" t="inlineStr">
        <is>
          <t>TVA %</t>
        </is>
      </c>
      <c r="H2" s="2" t="inlineStr">
        <is>
          <t>Stock minimum</t>
        </is>
      </c>
      <c r="I2" s="2" t="inlineStr">
        <is>
          <t>Stock de sécurité</t>
        </is>
      </c>
      <c r="J2" s="2" t="inlineStr">
        <is>
          <t>Emplacement</t>
        </is>
      </c>
      <c r="K2" s="2" t="inlineStr">
        <is>
          <t>Seuil d'alerte calculé</t>
        </is>
      </c>
    </row>
    <row r="3">
      <c r="A3" s="4" t="inlineStr">
        <is>
          <t>PAP-001</t>
        </is>
      </c>
      <c r="B3" s="5" t="inlineStr">
        <is>
          <t>Papier A4</t>
        </is>
      </c>
      <c r="C3" s="5" t="inlineStr">
        <is>
          <t>Fournitures bureau</t>
        </is>
      </c>
      <c r="D3" s="5" t="inlineStr">
        <is>
          <t>Ramette</t>
        </is>
      </c>
      <c r="E3" s="4" t="inlineStr">
        <is>
          <t>Bureau Plus Paris</t>
        </is>
      </c>
      <c r="F3" s="14" t="n">
        <v>4.5</v>
      </c>
      <c r="G3" s="7" t="n">
        <v>0.2</v>
      </c>
      <c r="H3" s="4" t="n">
        <v>100</v>
      </c>
      <c r="I3" s="4" t="n">
        <v>50</v>
      </c>
      <c r="J3" s="4" t="inlineStr">
        <is>
          <t>Entrepôt A - Rayon 1</t>
        </is>
      </c>
      <c r="K3">
        <f>H3+I3</f>
        <v/>
      </c>
    </row>
    <row r="4">
      <c r="A4" s="4" t="inlineStr">
        <is>
          <t>TON-002</t>
        </is>
      </c>
      <c r="B4" s="9" t="inlineStr">
        <is>
          <t>Toner laser</t>
        </is>
      </c>
      <c r="C4" s="9" t="inlineStr">
        <is>
          <t>Consommables</t>
        </is>
      </c>
      <c r="D4" s="9" t="inlineStr">
        <is>
          <t>Unité</t>
        </is>
      </c>
      <c r="E4" s="4" t="inlineStr">
        <is>
          <t>TechSupply Lyon</t>
        </is>
      </c>
      <c r="F4" s="14" t="n">
        <v>65</v>
      </c>
      <c r="G4" s="11" t="n">
        <v>0.2</v>
      </c>
      <c r="H4" s="4" t="n">
        <v>10</v>
      </c>
      <c r="I4" s="4" t="n">
        <v>5</v>
      </c>
      <c r="J4" s="4" t="inlineStr">
        <is>
          <t>Entrepôt A - Rayon 3</t>
        </is>
      </c>
      <c r="K4">
        <f>H4+I4</f>
        <v/>
      </c>
    </row>
    <row r="5">
      <c r="A5" s="4" t="inlineStr">
        <is>
          <t>CHA-003</t>
        </is>
      </c>
      <c r="B5" s="5" t="inlineStr">
        <is>
          <t>Chaise bureau</t>
        </is>
      </c>
      <c r="C5" s="5" t="inlineStr">
        <is>
          <t>Mobilier</t>
        </is>
      </c>
      <c r="D5" s="5" t="inlineStr">
        <is>
          <t>Unité</t>
        </is>
      </c>
      <c r="E5" s="4" t="inlineStr">
        <is>
          <t>Mobilier Nord Lille</t>
        </is>
      </c>
      <c r="F5" s="14" t="n">
        <v>89</v>
      </c>
      <c r="G5" s="7" t="n">
        <v>0.2</v>
      </c>
      <c r="H5" s="4" t="n">
        <v>5</v>
      </c>
      <c r="I5" s="4" t="n">
        <v>3</v>
      </c>
      <c r="J5" s="4" t="inlineStr">
        <is>
          <t>Entrepôt B - Rayon 1</t>
        </is>
      </c>
      <c r="K5">
        <f>H5+I5</f>
        <v/>
      </c>
    </row>
    <row r="6">
      <c r="A6" s="4" t="inlineStr">
        <is>
          <t>CLE-004</t>
        </is>
      </c>
      <c r="B6" s="9" t="inlineStr">
        <is>
          <t>Clé USB 32 Go</t>
        </is>
      </c>
      <c r="C6" s="9" t="inlineStr">
        <is>
          <t>Informatique</t>
        </is>
      </c>
      <c r="D6" s="9" t="inlineStr">
        <is>
          <t>Unité</t>
        </is>
      </c>
      <c r="E6" s="4" t="inlineStr">
        <is>
          <t>InfoDistrib Marseille</t>
        </is>
      </c>
      <c r="F6" s="14" t="n">
        <v>8.5</v>
      </c>
      <c r="G6" s="11" t="n">
        <v>0.2</v>
      </c>
      <c r="H6" s="4" t="n">
        <v>20</v>
      </c>
      <c r="I6" s="4" t="n">
        <v>10</v>
      </c>
      <c r="J6" s="4" t="inlineStr">
        <is>
          <t>Entrepôt A - Rayon 5</t>
        </is>
      </c>
      <c r="K6">
        <f>H6+I6</f>
        <v/>
      </c>
    </row>
    <row r="7">
      <c r="A7" s="4" t="inlineStr">
        <is>
          <t>CAF-005</t>
        </is>
      </c>
      <c r="B7" s="5" t="inlineStr">
        <is>
          <t>Cartouche encre</t>
        </is>
      </c>
      <c r="C7" s="5" t="inlineStr">
        <is>
          <t>Consommables</t>
        </is>
      </c>
      <c r="D7" s="5" t="inlineStr">
        <is>
          <t>Unité</t>
        </is>
      </c>
      <c r="E7" s="4" t="inlineStr">
        <is>
          <t>TechSupply Lyon</t>
        </is>
      </c>
      <c r="F7" s="14" t="n">
        <v>22</v>
      </c>
      <c r="G7" s="7" t="n">
        <v>0.2</v>
      </c>
      <c r="H7" s="4" t="n">
        <v>15</v>
      </c>
      <c r="I7" s="4" t="n">
        <v>10</v>
      </c>
      <c r="J7" s="4" t="inlineStr">
        <is>
          <t>Entrepôt A - Rayon 3</t>
        </is>
      </c>
      <c r="K7">
        <f>H7+I7</f>
        <v/>
      </c>
    </row>
    <row r="8">
      <c r="A8" s="4" t="inlineStr">
        <is>
          <t>TAB-006</t>
        </is>
      </c>
      <c r="B8" s="9" t="inlineStr">
        <is>
          <t>Table pliante</t>
        </is>
      </c>
      <c r="C8" s="9" t="inlineStr">
        <is>
          <t>Mobilier</t>
        </is>
      </c>
      <c r="D8" s="9" t="inlineStr">
        <is>
          <t>Unité</t>
        </is>
      </c>
      <c r="E8" s="4" t="inlineStr">
        <is>
          <t>Mobilier Nord Lille</t>
        </is>
      </c>
      <c r="F8" s="14" t="n">
        <v>120</v>
      </c>
      <c r="G8" s="11" t="n">
        <v>0.2</v>
      </c>
      <c r="H8" s="4" t="n">
        <v>4</v>
      </c>
      <c r="I8" s="4" t="n">
        <v>2</v>
      </c>
      <c r="J8" s="4" t="inlineStr">
        <is>
          <t>Entrepôt B - Rayon 2</t>
        </is>
      </c>
      <c r="K8">
        <f>H8+I8</f>
        <v/>
      </c>
    </row>
    <row r="9">
      <c r="A9" s="4" t="inlineStr">
        <is>
          <t>ECR-007</t>
        </is>
      </c>
      <c r="B9" s="5" t="inlineStr">
        <is>
          <t>Écran 27 pouces</t>
        </is>
      </c>
      <c r="C9" s="5" t="inlineStr">
        <is>
          <t>Informatique</t>
        </is>
      </c>
      <c r="D9" s="5" t="inlineStr">
        <is>
          <t>Unité</t>
        </is>
      </c>
      <c r="E9" s="4" t="inlineStr">
        <is>
          <t>InfoDistrib Marseille</t>
        </is>
      </c>
      <c r="F9" s="14" t="n">
        <v>189</v>
      </c>
      <c r="G9" s="7" t="n">
        <v>0.2</v>
      </c>
      <c r="H9" s="4" t="n">
        <v>6</v>
      </c>
      <c r="I9" s="4" t="n">
        <v>4</v>
      </c>
      <c r="J9" s="4" t="inlineStr">
        <is>
          <t>Entrepôt A - Rayon 5</t>
        </is>
      </c>
      <c r="K9">
        <f>H9+I9</f>
        <v/>
      </c>
    </row>
    <row r="10">
      <c r="A10" s="4" t="inlineStr">
        <is>
          <t>CAB-008</t>
        </is>
      </c>
      <c r="B10" s="9" t="inlineStr">
        <is>
          <t>Câble HDMI</t>
        </is>
      </c>
      <c r="C10" s="9" t="inlineStr">
        <is>
          <t>Informatique</t>
        </is>
      </c>
      <c r="D10" s="9" t="inlineStr">
        <is>
          <t>Unité</t>
        </is>
      </c>
      <c r="E10" s="4" t="inlineStr">
        <is>
          <t>InfoDistrib Marseille</t>
        </is>
      </c>
      <c r="F10" s="14" t="n">
        <v>6.9</v>
      </c>
      <c r="G10" s="11" t="n">
        <v>0.2</v>
      </c>
      <c r="H10" s="4" t="n">
        <v>25</v>
      </c>
      <c r="I10" s="4" t="n">
        <v>15</v>
      </c>
      <c r="J10" s="4" t="inlineStr">
        <is>
          <t>Entrepôt A - Rayon 6</t>
        </is>
      </c>
      <c r="K10">
        <f>H10+I10</f>
        <v/>
      </c>
    </row>
    <row r="11">
      <c r="A11" s="4" t="inlineStr">
        <is>
          <t>CLI-009</t>
        </is>
      </c>
      <c r="B11" s="5" t="inlineStr">
        <is>
          <t>Classeur</t>
        </is>
      </c>
      <c r="C11" s="5" t="inlineStr">
        <is>
          <t>Fournitures bureau</t>
        </is>
      </c>
      <c r="D11" s="5" t="inlineStr">
        <is>
          <t>Unité</t>
        </is>
      </c>
      <c r="E11" s="4" t="inlineStr">
        <is>
          <t>Bureau Plus Paris</t>
        </is>
      </c>
      <c r="F11" s="14" t="n">
        <v>3.2</v>
      </c>
      <c r="G11" s="7" t="n">
        <v>0.2</v>
      </c>
      <c r="H11" s="4" t="n">
        <v>30</v>
      </c>
      <c r="I11" s="4" t="n">
        <v>15</v>
      </c>
      <c r="J11" s="4" t="inlineStr">
        <is>
          <t>Entrepôt A - Rayon 2</t>
        </is>
      </c>
      <c r="K11">
        <f>H11+I11</f>
        <v/>
      </c>
    </row>
    <row r="12">
      <c r="A12" s="4" t="inlineStr">
        <is>
          <t>RAM-010</t>
        </is>
      </c>
      <c r="B12" s="9" t="inlineStr">
        <is>
          <t>Ramette papier</t>
        </is>
      </c>
      <c r="C12" s="9" t="inlineStr">
        <is>
          <t>Fournitures bureau</t>
        </is>
      </c>
      <c r="D12" s="9" t="inlineStr">
        <is>
          <t>Ramette</t>
        </is>
      </c>
      <c r="E12" s="4" t="inlineStr">
        <is>
          <t>Bureau Plus Paris</t>
        </is>
      </c>
      <c r="F12" s="14" t="n">
        <v>4.5</v>
      </c>
      <c r="G12" s="11" t="n">
        <v>0.2</v>
      </c>
      <c r="H12" s="4" t="n">
        <v>100</v>
      </c>
      <c r="I12" s="4" t="n">
        <v>50</v>
      </c>
      <c r="J12" s="4" t="inlineStr">
        <is>
          <t>Entrepôt A - Rayon 1</t>
        </is>
      </c>
      <c r="K12">
        <f>H12+I12</f>
        <v/>
      </c>
    </row>
  </sheetData>
  <mergeCells count="1">
    <mergeCell ref="A1:K1"/>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H28"/>
  <sheetViews>
    <sheetView workbookViewId="0">
      <selection activeCell="A1" sqref="A1"/>
    </sheetView>
  </sheetViews>
  <sheetFormatPr baseColWidth="8" defaultRowHeight="15"/>
  <cols>
    <col width="24" customWidth="1" min="1" max="1"/>
    <col width="18" customWidth="1" min="2" max="2"/>
    <col width="18" customWidth="1" min="3" max="3"/>
    <col width="16" customWidth="1" min="4" max="4"/>
    <col width="16" customWidth="1" min="5" max="5"/>
    <col width="12" customWidth="1" min="6" max="6"/>
    <col width="12" customWidth="1" min="7" max="7"/>
    <col width="12" customWidth="1" min="8" max="8"/>
  </cols>
  <sheetData>
    <row r="1" ht="28" customHeight="1">
      <c r="A1" s="1" t="inlineStr">
        <is>
          <t>SYNTHÈSE - TABLEAU DE BORD STOCK</t>
        </is>
      </c>
    </row>
    <row r="3">
      <c r="A3" s="15" t="inlineStr">
        <is>
          <t>INDICATEURS CLÉS</t>
        </is>
      </c>
      <c r="B3" s="16" t="n"/>
      <c r="C3" s="16" t="n"/>
    </row>
    <row r="4">
      <c r="A4" s="17" t="inlineStr">
        <is>
          <t>Nombre de références actives</t>
        </is>
      </c>
      <c r="B4" s="18" t="n"/>
      <c r="C4" s="19">
        <f>COUNTA('Mouvements de stock'!B3:B12)</f>
        <v/>
      </c>
    </row>
    <row r="5">
      <c r="A5" s="17" t="inlineStr">
        <is>
          <t>Nombre de mouvements du mois</t>
        </is>
      </c>
      <c r="B5" s="18" t="n"/>
      <c r="C5" s="19">
        <f>COUNTA('Mouvements de stock'!A3:A12)</f>
        <v/>
      </c>
    </row>
    <row r="6">
      <c r="A6" s="17" t="inlineStr">
        <is>
          <t>Quantités entrées (total)</t>
        </is>
      </c>
      <c r="B6" s="18" t="n"/>
      <c r="C6" s="19">
        <f>SUMIF('Mouvements de stock'!F3:F12,"Entrée",'Mouvements de stock'!G3:G12)</f>
        <v/>
      </c>
    </row>
    <row r="7">
      <c r="A7" s="17" t="inlineStr">
        <is>
          <t>Quantités sorties (total)</t>
        </is>
      </c>
      <c r="B7" s="18" t="n"/>
      <c r="C7" s="19">
        <f>SUMIF('Mouvements de stock'!F3:F12,"Sortie",'Mouvements de stock'!G3:G12)</f>
        <v/>
      </c>
    </row>
    <row r="8">
      <c r="A8" s="17" t="inlineStr">
        <is>
          <t>% de sorties (sur mouvements)</t>
        </is>
      </c>
      <c r="B8" s="18" t="n"/>
      <c r="C8" s="20">
        <f>IFERROR(C7/(C6+C7),0)</f>
        <v/>
      </c>
    </row>
    <row r="9">
      <c r="A9" s="17" t="inlineStr">
        <is>
          <t>Nombre d'alertes stock</t>
        </is>
      </c>
      <c r="B9" s="18" t="n"/>
      <c r="C9" s="19">
        <f>COUNTIF('Mouvements de stock'!R3:R12,"Alerte")</f>
        <v/>
      </c>
    </row>
    <row r="10">
      <c r="A10" s="17" t="inlineStr">
        <is>
          <t>Taux de rupture / alertes</t>
        </is>
      </c>
      <c r="B10" s="18" t="n"/>
      <c r="C10" s="20">
        <f>IFERROR(C9/COUNTA('Mouvements de stock'!R3:R12),0)</f>
        <v/>
      </c>
    </row>
    <row r="11">
      <c r="A11" s="17" t="inlineStr">
        <is>
          <t>Prix unitaire moyen HT</t>
        </is>
      </c>
      <c r="B11" s="18" t="n"/>
      <c r="C11" s="21">
        <f>AVERAGE('Mouvements de stock'!H3:H12)</f>
        <v/>
      </c>
    </row>
    <row r="12">
      <c r="A12" s="17" t="inlineStr">
        <is>
          <t>Valeur totale stock HT</t>
        </is>
      </c>
      <c r="B12" s="18" t="n"/>
      <c r="C12" s="21">
        <f>SUM('Mouvements de stock'!I3:I12)</f>
        <v/>
      </c>
    </row>
    <row r="13">
      <c r="A13" s="17" t="inlineStr">
        <is>
          <t>Valeur totale stock TTC</t>
        </is>
      </c>
      <c r="B13" s="18" t="n"/>
      <c r="C13" s="21">
        <f>SUM('Mouvements de stock'!L3:L12)</f>
        <v/>
      </c>
    </row>
    <row r="15">
      <c r="A15" s="15" t="inlineStr">
        <is>
          <t>STOCK ET VALEUR PAR CATÉGORIE</t>
        </is>
      </c>
      <c r="B15" s="16" t="n"/>
      <c r="C15" s="16" t="n"/>
      <c r="D15" s="16" t="n"/>
      <c r="E15" s="16" t="n"/>
    </row>
    <row r="16">
      <c r="A16" s="2" t="inlineStr">
        <is>
          <t>Catégorie</t>
        </is>
      </c>
      <c r="B16" s="2" t="inlineStr">
        <is>
          <t>Stock total</t>
        </is>
      </c>
      <c r="C16" s="2" t="inlineStr">
        <is>
          <t>Valeur stock HT</t>
        </is>
      </c>
      <c r="D16" s="2" t="inlineStr">
        <is>
          <t>Qté entrées</t>
        </is>
      </c>
      <c r="E16" s="2" t="inlineStr">
        <is>
          <t>Qté sorties</t>
        </is>
      </c>
    </row>
    <row r="17">
      <c r="A17" s="22" t="inlineStr">
        <is>
          <t>Fournitures bureau</t>
        </is>
      </c>
      <c r="B17" s="22">
        <f>SUMIF('Mouvements de stock'!D3:D12,A17,'Mouvements de stock'!P3:P12)</f>
        <v/>
      </c>
      <c r="C17" s="23">
        <f>SUMIF('Mouvements de stock'!D3:D12,A17,'Mouvements de stock'!I3:I12)</f>
        <v/>
      </c>
      <c r="D17" s="22">
        <f>SUMIFS('Mouvements de stock'!G3:G12,'Mouvements de stock'!D3:D12,A17,'Mouvements de stock'!F3:F12,"Entrée")</f>
        <v/>
      </c>
      <c r="E17" s="22">
        <f>SUMIFS('Mouvements de stock'!G3:G12,'Mouvements de stock'!D3:D12,A17,'Mouvements de stock'!F3:F12,"Sortie")</f>
        <v/>
      </c>
    </row>
    <row r="18">
      <c r="A18" s="24" t="inlineStr">
        <is>
          <t>Consommables</t>
        </is>
      </c>
      <c r="B18" s="24">
        <f>SUMIF('Mouvements de stock'!D3:D12,A18,'Mouvements de stock'!P3:P12)</f>
        <v/>
      </c>
      <c r="C18" s="25">
        <f>SUMIF('Mouvements de stock'!D3:D12,A18,'Mouvements de stock'!I3:I12)</f>
        <v/>
      </c>
      <c r="D18" s="24">
        <f>SUMIFS('Mouvements de stock'!G3:G12,'Mouvements de stock'!D3:D12,A18,'Mouvements de stock'!F3:F12,"Entrée")</f>
        <v/>
      </c>
      <c r="E18" s="24">
        <f>SUMIFS('Mouvements de stock'!G3:G12,'Mouvements de stock'!D3:D12,A18,'Mouvements de stock'!F3:F12,"Sortie")</f>
        <v/>
      </c>
    </row>
    <row r="19">
      <c r="A19" s="22" t="inlineStr">
        <is>
          <t>Mobilier</t>
        </is>
      </c>
      <c r="B19" s="22">
        <f>SUMIF('Mouvements de stock'!D3:D12,A19,'Mouvements de stock'!P3:P12)</f>
        <v/>
      </c>
      <c r="C19" s="23">
        <f>SUMIF('Mouvements de stock'!D3:D12,A19,'Mouvements de stock'!I3:I12)</f>
        <v/>
      </c>
      <c r="D19" s="22">
        <f>SUMIFS('Mouvements de stock'!G3:G12,'Mouvements de stock'!D3:D12,A19,'Mouvements de stock'!F3:F12,"Entrée")</f>
        <v/>
      </c>
      <c r="E19" s="22">
        <f>SUMIFS('Mouvements de stock'!G3:G12,'Mouvements de stock'!D3:D12,A19,'Mouvements de stock'!F3:F12,"Sortie")</f>
        <v/>
      </c>
    </row>
    <row r="20">
      <c r="A20" s="24" t="inlineStr">
        <is>
          <t>Informatique</t>
        </is>
      </c>
      <c r="B20" s="24">
        <f>SUMIF('Mouvements de stock'!D3:D12,A20,'Mouvements de stock'!P3:P12)</f>
        <v/>
      </c>
      <c r="C20" s="25">
        <f>SUMIF('Mouvements de stock'!D3:D12,A20,'Mouvements de stock'!I3:I12)</f>
        <v/>
      </c>
      <c r="D20" s="24">
        <f>SUMIFS('Mouvements de stock'!G3:G12,'Mouvements de stock'!D3:D12,A20,'Mouvements de stock'!F3:F12,"Entrée")</f>
        <v/>
      </c>
      <c r="E20" s="24">
        <f>SUMIFS('Mouvements de stock'!G3:G12,'Mouvements de stock'!D3:D12,A20,'Mouvements de stock'!F3:F12,"Sortie")</f>
        <v/>
      </c>
    </row>
    <row r="23">
      <c r="A23" s="15" t="inlineStr">
        <is>
          <t>TOP ARTICLES LES PLUS SORTIS</t>
        </is>
      </c>
      <c r="B23" s="16" t="n"/>
      <c r="C23" s="16" t="n"/>
      <c r="D23" s="16" t="n"/>
    </row>
    <row r="24">
      <c r="A24" s="2" t="inlineStr">
        <is>
          <t>Référence</t>
        </is>
      </c>
      <c r="B24" s="2" t="inlineStr">
        <is>
          <t>Désignation</t>
        </is>
      </c>
      <c r="C24" s="2" t="inlineStr">
        <is>
          <t>Quantité sortie</t>
        </is>
      </c>
      <c r="D24" s="2" t="inlineStr">
        <is>
          <t>Catégorie</t>
        </is>
      </c>
    </row>
    <row r="25">
      <c r="A25" s="22" t="inlineStr">
        <is>
          <t>CLE-004</t>
        </is>
      </c>
      <c r="B25" s="22">
        <f>IFERROR(VLOOKUP(A25,'Référentiel articles'!$A$3:$K$12,2,FALSE),"")</f>
        <v/>
      </c>
      <c r="C25" s="22">
        <f>SUMIFS('Mouvements de stock'!G3:G12,'Mouvements de stock'!B3:B12,A25,'Mouvements de stock'!F3:F12,"Sortie")</f>
        <v/>
      </c>
      <c r="D25" s="22">
        <f>IFERROR(VLOOKUP(A25,'Référentiel articles'!$A$3:$K$12,3,FALSE),"")</f>
        <v/>
      </c>
    </row>
    <row r="26">
      <c r="A26" s="24" t="inlineStr">
        <is>
          <t>CAB-008</t>
        </is>
      </c>
      <c r="B26" s="24">
        <f>IFERROR(VLOOKUP(A26,'Référentiel articles'!$A$3:$K$12,2,FALSE),"")</f>
        <v/>
      </c>
      <c r="C26" s="24">
        <f>SUMIFS('Mouvements de stock'!G3:G12,'Mouvements de stock'!B3:B12,A26,'Mouvements de stock'!F3:F12,"Sortie")</f>
        <v/>
      </c>
      <c r="D26" s="24">
        <f>IFERROR(VLOOKUP(A26,'Référentiel articles'!$A$3:$K$12,3,FALSE),"")</f>
        <v/>
      </c>
    </row>
    <row r="27">
      <c r="A27" s="22" t="inlineStr">
        <is>
          <t>TON-002</t>
        </is>
      </c>
      <c r="B27" s="22">
        <f>IFERROR(VLOOKUP(A27,'Référentiel articles'!$A$3:$K$12,2,FALSE),"")</f>
        <v/>
      </c>
      <c r="C27" s="22">
        <f>SUMIFS('Mouvements de stock'!G3:G12,'Mouvements de stock'!B3:B12,A27,'Mouvements de stock'!F3:F12,"Sortie")</f>
        <v/>
      </c>
      <c r="D27" s="22">
        <f>IFERROR(VLOOKUP(A27,'Référentiel articles'!$A$3:$K$12,3,FALSE),"")</f>
        <v/>
      </c>
    </row>
    <row r="28">
      <c r="A28" s="24" t="inlineStr">
        <is>
          <t>TAB-006</t>
        </is>
      </c>
      <c r="B28" s="24">
        <f>IFERROR(VLOOKUP(A28,'Référentiel articles'!$A$3:$K$12,2,FALSE),"")</f>
        <v/>
      </c>
      <c r="C28" s="24">
        <f>SUMIFS('Mouvements de stock'!G3:G12,'Mouvements de stock'!B3:B12,A28,'Mouvements de stock'!F3:F12,"Sortie")</f>
        <v/>
      </c>
      <c r="D28" s="24">
        <f>IFERROR(VLOOKUP(A28,'Référentiel articles'!$A$3:$K$12,3,FALSE),"")</f>
        <v/>
      </c>
    </row>
  </sheetData>
  <mergeCells count="14">
    <mergeCell ref="A1:H1"/>
    <mergeCell ref="A3:C3"/>
    <mergeCell ref="A4:B4"/>
    <mergeCell ref="A5:B5"/>
    <mergeCell ref="A6:B6"/>
    <mergeCell ref="A7:B7"/>
    <mergeCell ref="A8:B8"/>
    <mergeCell ref="A9:B9"/>
    <mergeCell ref="A10:B10"/>
    <mergeCell ref="A11:B11"/>
    <mergeCell ref="A12:B12"/>
    <mergeCell ref="A13:B13"/>
    <mergeCell ref="A15:E15"/>
    <mergeCell ref="A23:D23"/>
  </mergeCells>
  <pageMargins left="0.75" right="0.75" top="1" bottom="1" header="0.5" footer="0.5"/>
  <drawing xmlns:r="http://schemas.openxmlformats.org/officeDocument/2006/relationships" r:id="rId1"/>
</worksheet>
</file>

<file path=xl/worksheets/sheet4.xml><?xml version="1.0" encoding="utf-8"?>
<worksheet xmlns="http://schemas.openxmlformats.org/spreadsheetml/2006/main">
  <sheetPr>
    <outlinePr summaryBelow="1" summaryRight="1"/>
    <pageSetUpPr/>
  </sheetPr>
  <dimension ref="A1:B19"/>
  <sheetViews>
    <sheetView workbookViewId="0">
      <selection activeCell="A1" sqref="A1"/>
    </sheetView>
  </sheetViews>
  <sheetFormatPr baseColWidth="8" defaultRowHeight="15"/>
  <cols>
    <col width="55" customWidth="1" min="1" max="1"/>
    <col width="55" customWidth="1" min="2" max="2"/>
  </cols>
  <sheetData>
    <row r="1" ht="28" customHeight="1">
      <c r="A1" s="1" t="inlineStr">
        <is>
          <t>MODE D'EMPLOI</t>
        </is>
      </c>
    </row>
    <row r="3" ht="20" customHeight="1">
      <c r="A3" s="26" t="inlineStr">
        <is>
          <t>1. Feuille Mouvements de stock</t>
        </is>
      </c>
      <c r="B3" s="16" t="n"/>
    </row>
    <row r="4" ht="60" customHeight="1">
      <c r="A4" s="27" t="inlineStr">
        <is>
          <t>Saisir une ligne par mouvement : Date (JJ/MM/AAAA), Référence article (doit exister dans le Référentiel articles), Site/Entrepôt, Type de mouvement (liste déroulante : Entrée, Sortie, Ajustement), Quantité, Fournisseur/Client, N° de document et Stock initial. Les colonnes Désignation, Catégorie, Prix unitaire HT, TVA %, Montant HT, Montant TVA, Montant TTC, Stock après mouvement, Seuil d'alerte et Statut stock sont calculées automatiquement : ne pas les modifier manuellement.</t>
        </is>
      </c>
    </row>
    <row r="6" ht="20" customHeight="1">
      <c r="A6" s="26" t="inlineStr">
        <is>
          <t>2. Signification des statuts</t>
        </is>
      </c>
      <c r="B6" s="16" t="n"/>
    </row>
    <row r="7" ht="60" customHeight="1">
      <c r="A7" s="27" t="inlineStr">
        <is>
          <t>OK : le stock après mouvement est supérieur au seuil d'alerte. Alerte : le stock après mouvement est inférieur ou égal au seuil d'alerte (Stock minimum + Stock de sécurité défini dans le Référentiel articles) ; il convient de déclencher un réapprovisionnement.</t>
        </is>
      </c>
    </row>
    <row r="9" ht="20" customHeight="1">
      <c r="A9" s="26" t="inlineStr">
        <is>
          <t>3. Règles de gestion des entrées/sorties</t>
        </is>
      </c>
      <c r="B9" s="16" t="n"/>
    </row>
    <row r="10" ht="60" customHeight="1">
      <c r="A10" s="27" t="inlineStr">
        <is>
          <t>Entrée : le stock augmente de la quantité saisie (réception fournisseur). Sortie : le stock diminue de la quantité saisie (livraison client, consommation interne). Ajustement : correction d'inventaire ; saisir une quantité positive pour une régularisation à la hausse, négative pour une régularisation à la baisse.</t>
        </is>
      </c>
    </row>
    <row r="12" ht="20" customHeight="1">
      <c r="A12" s="26" t="inlineStr">
        <is>
          <t>4. Feuille Référentiel articles</t>
        </is>
      </c>
      <c r="B12" s="16" t="n"/>
    </row>
    <row r="13" ht="60" customHeight="1">
      <c r="A13" s="27" t="inlineStr">
        <is>
          <t>Base de référence utilisée par les formules VLOOKUP des autres feuilles. Chaque référence article doit y figurer une seule fois avec sa désignation, sa catégorie, son prix d'achat HT standard, sa TVA, son stock minimum, son stock de sécurité et son emplacement. Le Seuil d'alerte calculé (colonne K) est automatique.</t>
        </is>
      </c>
    </row>
    <row r="15" ht="20" customHeight="1">
      <c r="A15" s="26" t="inlineStr">
        <is>
          <t>5. Feuille Synthèse</t>
        </is>
      </c>
      <c r="B15" s="16" t="n"/>
    </row>
    <row r="16" ht="60" customHeight="1">
      <c r="A16" s="27" t="inlineStr">
        <is>
          <t>Tableau de bord alimenté automatiquement par les feuilles Mouvements de stock et Référentiel articles : indicateurs clés, stock et valeur par catégorie, top articles les plus sortis, et graphiques (entrées/sorties par catégorie, évolution du stock, répartition de la valeur de stock).</t>
        </is>
      </c>
    </row>
    <row r="18" ht="20" customHeight="1">
      <c r="A18" s="26" t="inlineStr">
        <is>
          <t>6. Formats à respecter</t>
        </is>
      </c>
      <c r="B18" s="16" t="n"/>
    </row>
    <row r="19" ht="60" customHeight="1">
      <c r="A19" s="27" t="inlineStr">
        <is>
          <t>Dates au format JJ/MM/AAAA. Montants en euros au format français (ex : 1 234,56 €). Les cellules à fond jaune pâle sont les zones de saisie libre ; les autres cellules contiennent des formules à ne pas écraser.</t>
        </is>
      </c>
    </row>
  </sheetData>
  <mergeCells count="13">
    <mergeCell ref="A1:B1"/>
    <mergeCell ref="A3:B3"/>
    <mergeCell ref="A4:B4"/>
    <mergeCell ref="A6:B6"/>
    <mergeCell ref="A7:B7"/>
    <mergeCell ref="A9:B9"/>
    <mergeCell ref="A10:B10"/>
    <mergeCell ref="A12:B12"/>
    <mergeCell ref="A13:B13"/>
    <mergeCell ref="A15:B15"/>
    <mergeCell ref="A16:B16"/>
    <mergeCell ref="A18:B18"/>
    <mergeCell ref="A19:B19"/>
  </mergeCells>
  <pageMargins left="0.75" right="0.75" top="1" bottom="1" header="0.5" footer="0.5"/>
</worksheet>
</file>

<file path=docProps/app.xml><?xml version="1.0" encoding="utf-8"?>
<Properties xmlns="http://schemas.openxmlformats.org/officeDocument/2006/extended-properties">
  <Application>Microsoft Excel</Application>
  <AppVersion>3.0</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2026-07-01T12:25:41Z</dcterms:created>
  <dcterms:modified xmlns:dcterms="http://purl.org/dc/terms/" xmlns:xsi="http://www.w3.org/2001/XMLSchema-instance" xsi:type="dcterms:W3CDTF">2026-07-01T12:25:41Z</dcterms:modified>
</cp:coreProperties>
</file>