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bornes" sheetId="1" state="visible" r:id="rId1"/>
    <sheet xmlns:r="http://schemas.openxmlformats.org/officeDocument/2006/relationships" name="Referentiels" sheetId="2" state="visible" r:id="rId2"/>
    <sheet xmlns:r="http://schemas.openxmlformats.org/officeDocument/2006/relationships" name="Synthè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 h:mm:ss"/>
    <numFmt numFmtId="165" formatCode="DD/MM/YYYY"/>
    <numFmt numFmtId="166" formatCode="HH:MM"/>
    <numFmt numFmtId="167" formatCode="0,0"/>
    <numFmt numFmtId="168" formatCode="# ##0,00 €"/>
    <numFmt numFmtId="169" formatCode="0,0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color rgb="0016A34A"/>
    </font>
    <font>
      <b val="1"/>
      <color rgb="00DC2626"/>
    </font>
    <font>
      <b val="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7" fontId="0" fillId="5" borderId="1" applyAlignment="1" pivotButton="0" quotePrefix="0" xfId="0">
      <alignment horizontal="center" vertical="center"/>
    </xf>
    <xf numFmtId="168" fontId="0" fillId="5" borderId="1" applyAlignment="1" pivotButton="0" quotePrefix="0" xfId="0">
      <alignment horizontal="center" vertical="center"/>
    </xf>
    <xf numFmtId="168" fontId="0" fillId="3" borderId="1" applyAlignment="1" pivotButton="0" quotePrefix="0" xfId="0">
      <alignment horizontal="center" vertical="center"/>
    </xf>
    <xf numFmtId="168" fontId="3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7" fontId="0" fillId="0" borderId="1" applyAlignment="1" pivotButton="0" quotePrefix="0" xfId="0">
      <alignment horizontal="center" vertical="center"/>
    </xf>
    <xf numFmtId="168" fontId="0" fillId="0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0" borderId="1" pivotButton="0" quotePrefix="0" xfId="0"/>
    <xf numFmtId="167" fontId="5" fillId="0" borderId="1" pivotButton="0" quotePrefix="0" xfId="0"/>
    <xf numFmtId="168" fontId="5" fillId="0" borderId="1" pivotButton="0" quotePrefix="0" xfId="0"/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4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1" fontId="5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center" vertical="center"/>
    </xf>
    <xf numFmtId="168" fontId="5" fillId="0" borderId="1" applyAlignment="1" pivotButton="0" quotePrefix="0" xfId="0">
      <alignment horizontal="center" vertical="center"/>
    </xf>
    <xf numFmtId="169" fontId="5" fillId="0" borderId="1" applyAlignment="1" pivotButton="0" quotePrefix="0" xfId="0">
      <alignment horizontal="center" vertical="center"/>
    </xf>
    <xf numFmtId="169" fontId="0" fillId="0" borderId="1" applyAlignment="1" pivotButton="0" quotePrefix="0" xfId="0">
      <alignment horizontal="center" vertical="center"/>
    </xf>
    <xf numFmtId="169" fontId="0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occupées par borne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'Synthèse'!D16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'Synthèse'!$A$17:$A$20</f>
            </numRef>
          </cat>
          <val>
            <numRef>
              <f>'Synthèse'!$D$17:$D$20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Borne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réservations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'Synthèse'!B24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'Synthèse'!$A$25:$A$28</f>
            </numRef>
          </cat>
          <val>
            <numRef>
              <f>'Synthèse'!$B$25:$B$28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occupées par date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'Synthèse'!E24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'Synthèse'!$D$25:$D$33</f>
            </numRef>
          </cat>
          <val>
            <numRef>
              <f>'Synthèse'!$E$25:$E$33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36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1" customWidth="1" min="4" max="4"/>
    <col width="12" customWidth="1" min="5" max="5"/>
    <col width="11" customWidth="1" min="6" max="6"/>
    <col width="10" customWidth="1" min="7" max="7"/>
    <col width="13" customWidth="1" min="8" max="8"/>
    <col width="12" customWidth="1" min="9" max="9"/>
    <col width="12" customWidth="1" min="10" max="10"/>
    <col width="13" customWidth="1" min="11" max="11"/>
    <col width="15" customWidth="1" min="12" max="12"/>
    <col width="20" customWidth="1" min="13" max="13"/>
    <col width="11" customWidth="1" min="14" max="14"/>
    <col width="13" customWidth="1" min="15" max="15"/>
    <col width="13" customWidth="1" min="16" max="16"/>
    <col width="13" customWidth="1" min="17" max="17"/>
    <col width="11" customWidth="1" min="18" max="18"/>
    <col width="14" customWidth="1" min="19" max="19"/>
    <col width="30" customWidth="1" min="20" max="20"/>
  </cols>
  <sheetData>
    <row r="1">
      <c r="A1" s="1" t="inlineStr">
        <is>
          <t>Planning d'occupation des bornes de recharge — Juin 2026</t>
        </is>
      </c>
    </row>
    <row r="3">
      <c r="A3" s="2" t="inlineStr">
        <is>
          <t>ID réservation</t>
        </is>
      </c>
      <c r="B3" s="2" t="inlineStr">
        <is>
          <t>Date</t>
        </is>
      </c>
      <c r="C3" s="2" t="inlineStr">
        <is>
          <t>Jour</t>
        </is>
      </c>
      <c r="D3" s="2" t="inlineStr">
        <is>
          <t>Heure début</t>
        </is>
      </c>
      <c r="E3" s="2" t="inlineStr">
        <is>
          <t>Heure fin prévue</t>
        </is>
      </c>
      <c r="F3" s="2" t="inlineStr">
        <is>
          <t>Durée prévue (h)</t>
        </is>
      </c>
      <c r="G3" s="2" t="inlineStr">
        <is>
          <t>Borne</t>
        </is>
      </c>
      <c r="H3" s="2" t="inlineStr">
        <is>
          <t>Type de prise</t>
        </is>
      </c>
      <c r="I3" s="2" t="inlineStr">
        <is>
          <t>Puissance (kW)</t>
        </is>
      </c>
      <c r="J3" s="2" t="inlineStr">
        <is>
          <t>Conducteur</t>
        </is>
      </c>
      <c r="K3" s="2" t="inlineStr">
        <is>
          <t>Ville</t>
        </is>
      </c>
      <c r="L3" s="2" t="inlineStr">
        <is>
          <t>Immatriculation</t>
        </is>
      </c>
      <c r="M3" s="2" t="inlineStr">
        <is>
          <t>Type de véhicule</t>
        </is>
      </c>
      <c r="N3" s="2" t="inlineStr">
        <is>
          <t>Statut</t>
        </is>
      </c>
      <c r="O3" s="2" t="inlineStr">
        <is>
          <t>Énergie prévue (kWh)</t>
        </is>
      </c>
      <c r="P3" s="2" t="inlineStr">
        <is>
          <t>Tarif horaire HT (€)</t>
        </is>
      </c>
      <c r="Q3" s="2" t="inlineStr">
        <is>
          <t>Montant HT (€)</t>
        </is>
      </c>
      <c r="R3" s="2" t="inlineStr">
        <is>
          <t>TVA</t>
        </is>
      </c>
      <c r="S3" s="2" t="inlineStr">
        <is>
          <t>Montant TTC (€)</t>
        </is>
      </c>
      <c r="T3" s="2" t="inlineStr">
        <is>
          <t>Commentaires</t>
        </is>
      </c>
    </row>
    <row r="4">
      <c r="A4" s="3" t="inlineStr">
        <is>
          <t>RES-001</t>
        </is>
      </c>
      <c r="B4" s="4" t="n">
        <v>46175</v>
      </c>
      <c r="C4" s="5">
        <f>TEXT(B4,"dddd")</f>
        <v/>
      </c>
      <c r="D4" s="6" t="n">
        <v>0.3333333333333333</v>
      </c>
      <c r="E4" s="6" t="n">
        <v>0.3958333333333333</v>
      </c>
      <c r="F4" s="7">
        <f>IF(OR(D4="",E4=""),0,(E4-D4)*24)</f>
        <v/>
      </c>
      <c r="G4" s="3" t="inlineStr">
        <is>
          <t>Borne-01</t>
        </is>
      </c>
      <c r="H4" s="5">
        <f>IFERROR(VLOOKUP(G4,Referentiels!A:C,3,FALSE),"")</f>
        <v/>
      </c>
      <c r="I4" s="5">
        <f>IFERROR(VLOOKUP(G4,Referentiels!A:B,2,FALSE),0)</f>
        <v/>
      </c>
      <c r="J4" s="8" t="inlineStr">
        <is>
          <t>Marie</t>
        </is>
      </c>
      <c r="K4" s="8" t="inlineStr">
        <is>
          <t>Paris</t>
        </is>
      </c>
      <c r="L4" s="3" t="inlineStr">
        <is>
          <t>AB-123-CD</t>
        </is>
      </c>
      <c r="M4" s="8" t="inlineStr">
        <is>
          <t>Renault Megane E-Tech</t>
        </is>
      </c>
      <c r="N4" s="3" t="inlineStr">
        <is>
          <t>Terminée</t>
        </is>
      </c>
      <c r="O4" s="9" t="n">
        <v>28</v>
      </c>
      <c r="P4" s="10" t="n">
        <v>6.5</v>
      </c>
      <c r="Q4" s="11">
        <f>IF(N4="Annulée",0,F4*P4)</f>
        <v/>
      </c>
      <c r="R4" s="11">
        <f>Q4*20%</f>
        <v/>
      </c>
      <c r="S4" s="12">
        <f>Q4+R4</f>
        <v/>
      </c>
      <c r="T4" s="8" t="inlineStr">
        <is>
          <t>Recharge matinale avant réunion</t>
        </is>
      </c>
    </row>
    <row r="5">
      <c r="A5" s="3" t="inlineStr">
        <is>
          <t>RES-002</t>
        </is>
      </c>
      <c r="B5" s="4" t="n">
        <v>46176</v>
      </c>
      <c r="C5" s="13">
        <f>TEXT(B5,"dddd")</f>
        <v/>
      </c>
      <c r="D5" s="6" t="n">
        <v>0.375</v>
      </c>
      <c r="E5" s="6" t="n">
        <v>0.4583333333333333</v>
      </c>
      <c r="F5" s="14">
        <f>IF(OR(D5="",E5=""),0,(E5-D5)*24)</f>
        <v/>
      </c>
      <c r="G5" s="3" t="inlineStr">
        <is>
          <t>Borne-02</t>
        </is>
      </c>
      <c r="H5" s="13">
        <f>IFERROR(VLOOKUP(G5,Referentiels!A:C,3,FALSE),"")</f>
        <v/>
      </c>
      <c r="I5" s="13">
        <f>IFERROR(VLOOKUP(G5,Referentiels!A:B,2,FALSE),0)</f>
        <v/>
      </c>
      <c r="J5" s="8" t="inlineStr">
        <is>
          <t>Julien</t>
        </is>
      </c>
      <c r="K5" s="8" t="inlineStr">
        <is>
          <t>Lyon</t>
        </is>
      </c>
      <c r="L5" s="3" t="inlineStr">
        <is>
          <t>EF-456-GH</t>
        </is>
      </c>
      <c r="M5" s="8" t="inlineStr">
        <is>
          <t>Peugeot e-208</t>
        </is>
      </c>
      <c r="N5" s="3" t="inlineStr">
        <is>
          <t>Terminée</t>
        </is>
      </c>
      <c r="O5" s="9" t="n">
        <v>35.5</v>
      </c>
      <c r="P5" s="10" t="n">
        <v>6.5</v>
      </c>
      <c r="Q5" s="15">
        <f>IF(N5="Annulée",0,F5*P5)</f>
        <v/>
      </c>
      <c r="R5" s="15">
        <f>Q5*20%</f>
        <v/>
      </c>
      <c r="S5" s="16">
        <f>Q5+R5</f>
        <v/>
      </c>
      <c r="T5" s="8" t="inlineStr">
        <is>
          <t>Véhicule de service</t>
        </is>
      </c>
    </row>
    <row r="6">
      <c r="A6" s="3" t="inlineStr">
        <is>
          <t>RES-003</t>
        </is>
      </c>
      <c r="B6" s="4" t="n">
        <v>46177</v>
      </c>
      <c r="C6" s="5">
        <f>TEXT(B6,"dddd")</f>
        <v/>
      </c>
      <c r="D6" s="6" t="n">
        <v>0.4166666666666667</v>
      </c>
      <c r="E6" s="6" t="n">
        <v>0.5208333333333334</v>
      </c>
      <c r="F6" s="7">
        <f>IF(OR(D6="",E6=""),0,(E6-D6)*24)</f>
        <v/>
      </c>
      <c r="G6" s="3" t="inlineStr">
        <is>
          <t>Borne-03</t>
        </is>
      </c>
      <c r="H6" s="5">
        <f>IFERROR(VLOOKUP(G6,Referentiels!A:C,3,FALSE),"")</f>
        <v/>
      </c>
      <c r="I6" s="5">
        <f>IFERROR(VLOOKUP(G6,Referentiels!A:B,2,FALSE),0)</f>
        <v/>
      </c>
      <c r="J6" s="8" t="inlineStr">
        <is>
          <t>Sophie</t>
        </is>
      </c>
      <c r="K6" s="8" t="inlineStr">
        <is>
          <t>Marseille</t>
        </is>
      </c>
      <c r="L6" s="3" t="inlineStr">
        <is>
          <t>IJ-789-KL</t>
        </is>
      </c>
      <c r="M6" s="8" t="inlineStr">
        <is>
          <t>Tesla Model 3</t>
        </is>
      </c>
      <c r="N6" s="3" t="inlineStr">
        <is>
          <t>Terminée</t>
        </is>
      </c>
      <c r="O6" s="9" t="n">
        <v>55</v>
      </c>
      <c r="P6" s="10" t="n">
        <v>9</v>
      </c>
      <c r="Q6" s="11">
        <f>IF(N6="Annulée",0,F6*P6)</f>
        <v/>
      </c>
      <c r="R6" s="11">
        <f>Q6*20%</f>
        <v/>
      </c>
      <c r="S6" s="12">
        <f>Q6+R6</f>
        <v/>
      </c>
      <c r="T6" s="8" t="inlineStr">
        <is>
          <t>Charge rapide CCS</t>
        </is>
      </c>
    </row>
    <row r="7">
      <c r="A7" s="3" t="inlineStr">
        <is>
          <t>RES-004</t>
        </is>
      </c>
      <c r="B7" s="4" t="n">
        <v>46178</v>
      </c>
      <c r="C7" s="13">
        <f>TEXT(B7,"dddd")</f>
        <v/>
      </c>
      <c r="D7" s="6" t="n">
        <v>0.3541666666666667</v>
      </c>
      <c r="E7" s="6" t="n">
        <v>0.4166666666666667</v>
      </c>
      <c r="F7" s="14">
        <f>IF(OR(D7="",E7=""),0,(E7-D7)*24)</f>
        <v/>
      </c>
      <c r="G7" s="3" t="inlineStr">
        <is>
          <t>Borne-01</t>
        </is>
      </c>
      <c r="H7" s="13">
        <f>IFERROR(VLOOKUP(G7,Referentiels!A:C,3,FALSE),"")</f>
        <v/>
      </c>
      <c r="I7" s="13">
        <f>IFERROR(VLOOKUP(G7,Referentiels!A:B,2,FALSE),0)</f>
        <v/>
      </c>
      <c r="J7" s="8" t="inlineStr">
        <is>
          <t>Thomas</t>
        </is>
      </c>
      <c r="K7" s="8" t="inlineStr">
        <is>
          <t>Toulouse</t>
        </is>
      </c>
      <c r="L7" s="3" t="inlineStr">
        <is>
          <t>MN-012-OP</t>
        </is>
      </c>
      <c r="M7" s="8" t="inlineStr">
        <is>
          <t>Hyundai Kona Electric</t>
        </is>
      </c>
      <c r="N7" s="3" t="inlineStr">
        <is>
          <t>Terminée</t>
        </is>
      </c>
      <c r="O7" s="9" t="n">
        <v>26.5</v>
      </c>
      <c r="P7" s="10" t="n">
        <v>6.5</v>
      </c>
      <c r="Q7" s="15">
        <f>IF(N7="Annulée",0,F7*P7)</f>
        <v/>
      </c>
      <c r="R7" s="15">
        <f>Q7*20%</f>
        <v/>
      </c>
      <c r="S7" s="16">
        <f>Q7+R7</f>
        <v/>
      </c>
      <c r="T7" s="8" t="inlineStr"/>
    </row>
    <row r="8">
      <c r="A8" s="3" t="inlineStr">
        <is>
          <t>RES-005</t>
        </is>
      </c>
      <c r="B8" s="4" t="n">
        <v>46181</v>
      </c>
      <c r="C8" s="5">
        <f>TEXT(B8,"dddd")</f>
        <v/>
      </c>
      <c r="D8" s="6" t="n">
        <v>0.5833333333333334</v>
      </c>
      <c r="E8" s="6" t="n">
        <v>0.6875</v>
      </c>
      <c r="F8" s="7">
        <f>IF(OR(D8="",E8=""),0,(E8-D8)*24)</f>
        <v/>
      </c>
      <c r="G8" s="3" t="inlineStr">
        <is>
          <t>Borne-04</t>
        </is>
      </c>
      <c r="H8" s="5">
        <f>IFERROR(VLOOKUP(G8,Referentiels!A:C,3,FALSE),"")</f>
        <v/>
      </c>
      <c r="I8" s="5">
        <f>IFERROR(VLOOKUP(G8,Referentiels!A:B,2,FALSE),0)</f>
        <v/>
      </c>
      <c r="J8" s="8" t="inlineStr">
        <is>
          <t>Camille</t>
        </is>
      </c>
      <c r="K8" s="8" t="inlineStr">
        <is>
          <t>Bordeaux</t>
        </is>
      </c>
      <c r="L8" s="3" t="inlineStr">
        <is>
          <t>QR-345-ST</t>
        </is>
      </c>
      <c r="M8" s="8" t="inlineStr">
        <is>
          <t>Renault Zoe</t>
        </is>
      </c>
      <c r="N8" s="17" t="inlineStr">
        <is>
          <t>Annulée</t>
        </is>
      </c>
      <c r="O8" s="9" t="n">
        <v>22</v>
      </c>
      <c r="P8" s="10" t="n">
        <v>6</v>
      </c>
      <c r="Q8" s="11">
        <f>IF(N8="Annulée",0,F8*P8)</f>
        <v/>
      </c>
      <c r="R8" s="11">
        <f>Q8*20%</f>
        <v/>
      </c>
      <c r="S8" s="12">
        <f>Q8+R8</f>
        <v/>
      </c>
      <c r="T8" s="8" t="inlineStr">
        <is>
          <t>Annulée — borne en maintenance</t>
        </is>
      </c>
    </row>
    <row r="9">
      <c r="A9" s="3" t="inlineStr">
        <is>
          <t>RES-006</t>
        </is>
      </c>
      <c r="B9" s="4" t="n">
        <v>46181</v>
      </c>
      <c r="C9" s="13">
        <f>TEXT(B9,"dddd")</f>
        <v/>
      </c>
      <c r="D9" s="6" t="n">
        <v>0.3333333333333333</v>
      </c>
      <c r="E9" s="6" t="n">
        <v>0.4375</v>
      </c>
      <c r="F9" s="14">
        <f>IF(OR(D9="",E9=""),0,(E9-D9)*24)</f>
        <v/>
      </c>
      <c r="G9" s="3" t="inlineStr">
        <is>
          <t>Borne-02</t>
        </is>
      </c>
      <c r="H9" s="13">
        <f>IFERROR(VLOOKUP(G9,Referentiels!A:C,3,FALSE),"")</f>
        <v/>
      </c>
      <c r="I9" s="13">
        <f>IFERROR(VLOOKUP(G9,Referentiels!A:B,2,FALSE),0)</f>
        <v/>
      </c>
      <c r="J9" s="8" t="inlineStr">
        <is>
          <t>Nicolas</t>
        </is>
      </c>
      <c r="K9" s="8" t="inlineStr">
        <is>
          <t>Lille</t>
        </is>
      </c>
      <c r="L9" s="3" t="inlineStr">
        <is>
          <t>UV-678-WX</t>
        </is>
      </c>
      <c r="M9" s="8" t="inlineStr">
        <is>
          <t>Volkswagen ID.4</t>
        </is>
      </c>
      <c r="N9" s="3" t="inlineStr">
        <is>
          <t>En cours</t>
        </is>
      </c>
      <c r="O9" s="9" t="n">
        <v>40</v>
      </c>
      <c r="P9" s="10" t="n">
        <v>6.5</v>
      </c>
      <c r="Q9" s="15">
        <f>IF(N9="Annulée",0,F9*P9)</f>
        <v/>
      </c>
      <c r="R9" s="15">
        <f>Q9*20%</f>
        <v/>
      </c>
      <c r="S9" s="16">
        <f>Q9+R9</f>
        <v/>
      </c>
      <c r="T9" s="8" t="inlineStr">
        <is>
          <t>Déplacement commercial</t>
        </is>
      </c>
    </row>
    <row r="10">
      <c r="A10" s="3" t="inlineStr">
        <is>
          <t>RES-007</t>
        </is>
      </c>
      <c r="B10" s="4" t="n">
        <v>46182</v>
      </c>
      <c r="C10" s="5">
        <f>TEXT(B10,"dddd")</f>
        <v/>
      </c>
      <c r="D10" s="6" t="n">
        <v>0.5416666666666666</v>
      </c>
      <c r="E10" s="6" t="n">
        <v>0.625</v>
      </c>
      <c r="F10" s="7">
        <f>IF(OR(D10="",E10=""),0,(E10-D10)*24)</f>
        <v/>
      </c>
      <c r="G10" s="3" t="inlineStr">
        <is>
          <t>Borne-03</t>
        </is>
      </c>
      <c r="H10" s="5">
        <f>IFERROR(VLOOKUP(G10,Referentiels!A:C,3,FALSE),"")</f>
        <v/>
      </c>
      <c r="I10" s="5">
        <f>IFERROR(VLOOKUP(G10,Referentiels!A:B,2,FALSE),0)</f>
        <v/>
      </c>
      <c r="J10" s="8" t="inlineStr">
        <is>
          <t>Léa</t>
        </is>
      </c>
      <c r="K10" s="8" t="inlineStr">
        <is>
          <t>Nantes</t>
        </is>
      </c>
      <c r="L10" s="3" t="inlineStr">
        <is>
          <t>YZ-901-AB</t>
        </is>
      </c>
      <c r="M10" s="8" t="inlineStr">
        <is>
          <t>BMW i4</t>
        </is>
      </c>
      <c r="N10" s="3" t="inlineStr">
        <is>
          <t>Planifiée</t>
        </is>
      </c>
      <c r="O10" s="9" t="n">
        <v>48</v>
      </c>
      <c r="P10" s="10" t="n">
        <v>9</v>
      </c>
      <c r="Q10" s="11">
        <f>IF(N10="Annulée",0,F10*P10)</f>
        <v/>
      </c>
      <c r="R10" s="11">
        <f>Q10*20%</f>
        <v/>
      </c>
      <c r="S10" s="12">
        <f>Q10+R10</f>
        <v/>
      </c>
      <c r="T10" s="8" t="inlineStr">
        <is>
          <t>Charge rapide</t>
        </is>
      </c>
    </row>
    <row r="11">
      <c r="A11" s="3" t="inlineStr">
        <is>
          <t>RES-008</t>
        </is>
      </c>
      <c r="B11" s="4" t="n">
        <v>46183</v>
      </c>
      <c r="C11" s="13">
        <f>TEXT(B11,"dddd")</f>
        <v/>
      </c>
      <c r="D11" s="6" t="n">
        <v>0.3958333333333333</v>
      </c>
      <c r="E11" s="6" t="n">
        <v>0.4791666666666667</v>
      </c>
      <c r="F11" s="14">
        <f>IF(OR(D11="",E11=""),0,(E11-D11)*24)</f>
        <v/>
      </c>
      <c r="G11" s="3" t="inlineStr">
        <is>
          <t>Borne-04</t>
        </is>
      </c>
      <c r="H11" s="13">
        <f>IFERROR(VLOOKUP(G11,Referentiels!A:C,3,FALSE),"")</f>
        <v/>
      </c>
      <c r="I11" s="13">
        <f>IFERROR(VLOOKUP(G11,Referentiels!A:B,2,FALSE),0)</f>
        <v/>
      </c>
      <c r="J11" s="8" t="inlineStr">
        <is>
          <t>Antoine</t>
        </is>
      </c>
      <c r="K11" s="8" t="inlineStr">
        <is>
          <t>Strasbourg</t>
        </is>
      </c>
      <c r="L11" s="3" t="inlineStr">
        <is>
          <t>CD-234-EF</t>
        </is>
      </c>
      <c r="M11" s="8" t="inlineStr">
        <is>
          <t>Kia EV6</t>
        </is>
      </c>
      <c r="N11" s="17" t="inlineStr">
        <is>
          <t>Annulée</t>
        </is>
      </c>
      <c r="O11" s="9" t="n">
        <v>20</v>
      </c>
      <c r="P11" s="10" t="n">
        <v>6</v>
      </c>
      <c r="Q11" s="15">
        <f>IF(N11="Annulée",0,F11*P11)</f>
        <v/>
      </c>
      <c r="R11" s="15">
        <f>Q11*20%</f>
        <v/>
      </c>
      <c r="S11" s="16">
        <f>Q11+R11</f>
        <v/>
      </c>
      <c r="T11" s="8" t="inlineStr">
        <is>
          <t>Reporté — borne en maintenance</t>
        </is>
      </c>
    </row>
    <row r="12">
      <c r="A12" s="3" t="inlineStr">
        <is>
          <t>RES-009</t>
        </is>
      </c>
      <c r="B12" s="4" t="n">
        <v>46184</v>
      </c>
      <c r="C12" s="5">
        <f>TEXT(B12,"dddd")</f>
        <v/>
      </c>
      <c r="D12" s="6" t="n">
        <v>0.3333333333333333</v>
      </c>
      <c r="E12" s="6" t="n">
        <v>0.4166666666666667</v>
      </c>
      <c r="F12" s="7">
        <f>IF(OR(D12="",E12=""),0,(E12-D12)*24)</f>
        <v/>
      </c>
      <c r="G12" s="3" t="inlineStr">
        <is>
          <t>Borne-01</t>
        </is>
      </c>
      <c r="H12" s="5">
        <f>IFERROR(VLOOKUP(G12,Referentiels!A:C,3,FALSE),"")</f>
        <v/>
      </c>
      <c r="I12" s="5">
        <f>IFERROR(VLOOKUP(G12,Referentiels!A:B,2,FALSE),0)</f>
        <v/>
      </c>
      <c r="J12" s="8" t="inlineStr">
        <is>
          <t>Chloé</t>
        </is>
      </c>
      <c r="K12" s="8" t="inlineStr">
        <is>
          <t>Rennes</t>
        </is>
      </c>
      <c r="L12" s="3" t="inlineStr">
        <is>
          <t>GH-567-IJ</t>
        </is>
      </c>
      <c r="M12" s="8" t="inlineStr">
        <is>
          <t>Citroën ë-C4</t>
        </is>
      </c>
      <c r="N12" s="3" t="inlineStr">
        <is>
          <t>Planifiée</t>
        </is>
      </c>
      <c r="O12" s="9" t="n">
        <v>30</v>
      </c>
      <c r="P12" s="10" t="n">
        <v>6.5</v>
      </c>
      <c r="Q12" s="11">
        <f>IF(N12="Annulée",0,F12*P12)</f>
        <v/>
      </c>
      <c r="R12" s="11">
        <f>Q12*20%</f>
        <v/>
      </c>
      <c r="S12" s="12">
        <f>Q12+R12</f>
        <v/>
      </c>
      <c r="T12" s="8" t="inlineStr"/>
    </row>
    <row r="13">
      <c r="A13" s="3" t="inlineStr">
        <is>
          <t>RES-010</t>
        </is>
      </c>
      <c r="B13" s="4" t="n">
        <v>46185</v>
      </c>
      <c r="C13" s="13">
        <f>TEXT(B13,"dddd")</f>
        <v/>
      </c>
      <c r="D13" s="6" t="n">
        <v>0.5833333333333334</v>
      </c>
      <c r="E13" s="6" t="n">
        <v>0.7083333333333334</v>
      </c>
      <c r="F13" s="14">
        <f>IF(OR(D13="",E13=""),0,(E13-D13)*24)</f>
        <v/>
      </c>
      <c r="G13" s="3" t="inlineStr">
        <is>
          <t>Borne-02</t>
        </is>
      </c>
      <c r="H13" s="13">
        <f>IFERROR(VLOOKUP(G13,Referentiels!A:C,3,FALSE),"")</f>
        <v/>
      </c>
      <c r="I13" s="13">
        <f>IFERROR(VLOOKUP(G13,Referentiels!A:B,2,FALSE),0)</f>
        <v/>
      </c>
      <c r="J13" s="8" t="inlineStr">
        <is>
          <t>Maxime</t>
        </is>
      </c>
      <c r="K13" s="8" t="inlineStr">
        <is>
          <t>Montpellier</t>
        </is>
      </c>
      <c r="L13" s="3" t="inlineStr">
        <is>
          <t>KL-890-MN</t>
        </is>
      </c>
      <c r="M13" s="8" t="inlineStr">
        <is>
          <t>Tesla Model Y</t>
        </is>
      </c>
      <c r="N13" s="3" t="inlineStr">
        <is>
          <t>Planifiée</t>
        </is>
      </c>
      <c r="O13" s="9" t="n">
        <v>45</v>
      </c>
      <c r="P13" s="10" t="n">
        <v>6.5</v>
      </c>
      <c r="Q13" s="15">
        <f>IF(N13="Annulée",0,F13*P13)</f>
        <v/>
      </c>
      <c r="R13" s="15">
        <f>Q13*20%</f>
        <v/>
      </c>
      <c r="S13" s="16">
        <f>Q13+R13</f>
        <v/>
      </c>
      <c r="T13" s="8" t="inlineStr">
        <is>
          <t>Fin de semaine</t>
        </is>
      </c>
    </row>
    <row r="14">
      <c r="C14" s="18" t="inlineStr">
        <is>
          <t>TOTAUX</t>
        </is>
      </c>
      <c r="F14" s="19">
        <f>SUM(F4:F13)</f>
        <v/>
      </c>
      <c r="O14" s="19">
        <f>SUM(O4:O13)</f>
        <v/>
      </c>
      <c r="Q14" s="20">
        <f>SUM(Q4:Q13)</f>
        <v/>
      </c>
      <c r="R14" s="20">
        <f>SUM(R4:R13)</f>
        <v/>
      </c>
      <c r="S14" s="20">
        <f>SUM(S4:S13)</f>
        <v/>
      </c>
    </row>
  </sheetData>
  <conditionalFormatting sqref="N4:N13">
    <cfRule type="expression" priority="1" dxfId="0" stopIfTrue="1">
      <formula>$N4="Annulée"</formula>
    </cfRule>
  </conditionalFormatting>
  <conditionalFormatting sqref="S4:S13">
    <cfRule type="expression" priority="2" dxfId="1" stopIfTrue="1">
      <formula>$S4&gt;0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55" customWidth="1" min="1" max="1"/>
    <col width="16" customWidth="1" min="2" max="2"/>
    <col width="16" customWidth="1" min="3" max="3"/>
    <col width="14" customWidth="1" min="4" max="4"/>
  </cols>
  <sheetData>
    <row r="1">
      <c r="A1" s="1" t="inlineStr">
        <is>
          <t>Référentiel des bornes de recharge</t>
        </is>
      </c>
    </row>
    <row r="3">
      <c r="A3" s="21" t="inlineStr">
        <is>
          <t>Borne</t>
        </is>
      </c>
      <c r="B3" s="21" t="inlineStr">
        <is>
          <t>Puissance (kW)</t>
        </is>
      </c>
      <c r="C3" s="21" t="inlineStr">
        <is>
          <t>Type de prise</t>
        </is>
      </c>
      <c r="D3" s="21" t="inlineStr">
        <is>
          <t>Statut</t>
        </is>
      </c>
    </row>
    <row r="4">
      <c r="A4" s="5" t="inlineStr">
        <is>
          <t>Borne-01</t>
        </is>
      </c>
      <c r="B4" s="5" t="n">
        <v>22</v>
      </c>
      <c r="C4" s="5" t="inlineStr">
        <is>
          <t>Type 2</t>
        </is>
      </c>
      <c r="D4" s="22" t="inlineStr">
        <is>
          <t>Active</t>
        </is>
      </c>
    </row>
    <row r="5">
      <c r="A5" s="13" t="inlineStr">
        <is>
          <t>Borne-02</t>
        </is>
      </c>
      <c r="B5" s="13" t="n">
        <v>22</v>
      </c>
      <c r="C5" s="13" t="inlineStr">
        <is>
          <t>Type 2</t>
        </is>
      </c>
      <c r="D5" s="23" t="inlineStr">
        <is>
          <t>Active</t>
        </is>
      </c>
    </row>
    <row r="6">
      <c r="A6" s="5" t="inlineStr">
        <is>
          <t>Borne-03</t>
        </is>
      </c>
      <c r="B6" s="5" t="n">
        <v>50</v>
      </c>
      <c r="C6" s="5" t="inlineStr">
        <is>
          <t>CCS Combo 2</t>
        </is>
      </c>
      <c r="D6" s="22" t="inlineStr">
        <is>
          <t>Active</t>
        </is>
      </c>
    </row>
    <row r="7">
      <c r="A7" s="13" t="inlineStr">
        <is>
          <t>Borne-04</t>
        </is>
      </c>
      <c r="B7" s="13" t="n">
        <v>11</v>
      </c>
      <c r="C7" s="13" t="inlineStr">
        <is>
          <t>Type 2</t>
        </is>
      </c>
      <c r="D7" s="24" t="inlineStr">
        <is>
          <t>Maintenance</t>
        </is>
      </c>
    </row>
    <row r="10">
      <c r="A10" s="25" t="inlineStr">
        <is>
          <t>Instructions</t>
        </is>
      </c>
    </row>
    <row r="11">
      <c r="A11" s="26" t="inlineStr">
        <is>
          <t>• Renseigner uniquement les cellules jaunes de la feuille Planning bornes.</t>
        </is>
      </c>
    </row>
    <row r="12">
      <c r="A12" s="26" t="inlineStr">
        <is>
          <t>• Utiliser les statuts proposés : Planifiée, En cours, Terminée, Annulée.</t>
        </is>
      </c>
    </row>
    <row r="13">
      <c r="A13" s="26" t="inlineStr">
        <is>
          <t>• Vérifier les conflits horaires : deux réservations d'une même borne ne doivent pas se chevaucher.</t>
        </is>
      </c>
    </row>
    <row r="14">
      <c r="A14" s="26" t="inlineStr">
        <is>
          <t>• Actualiser les indicateurs de la feuille Synthèse après toute modification.</t>
        </is>
      </c>
    </row>
    <row r="15">
      <c r="A15" s="26" t="inlineStr">
        <is>
          <t>• Les bornes en maintenance ne doivent pas recevoir de nouvelle réservation.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16" customWidth="1" min="4" max="4"/>
    <col width="16" customWidth="1" min="5" max="5"/>
    <col width="18" customWidth="1" min="6" max="6"/>
    <col width="14" customWidth="1" min="7" max="7"/>
  </cols>
  <sheetData>
    <row r="1">
      <c r="A1" s="1" t="inlineStr">
        <is>
          <t>Synthèse — Tableau de bord des bornes</t>
        </is>
      </c>
    </row>
    <row r="3">
      <c r="A3" s="25" t="inlineStr">
        <is>
          <t>Indicateurs clés</t>
        </is>
      </c>
    </row>
    <row r="4">
      <c r="A4" s="27" t="inlineStr">
        <is>
          <t>Nombre total de réservations</t>
        </is>
      </c>
      <c r="B4" s="28">
        <f>COUNTA('Planning bornes'!A4:A13)</f>
        <v/>
      </c>
    </row>
    <row r="5">
      <c r="A5" s="29" t="inlineStr">
        <is>
          <t>Réservations terminées</t>
        </is>
      </c>
      <c r="B5" s="28">
        <f>COUNTIF('Planning bornes'!N4:N13,"Terminée")</f>
        <v/>
      </c>
    </row>
    <row r="6">
      <c r="A6" s="27" t="inlineStr">
        <is>
          <t>Réservations annulées</t>
        </is>
      </c>
      <c r="B6" s="28">
        <f>COUNTIF('Planning bornes'!N4:N13,"Annulée")</f>
        <v/>
      </c>
    </row>
    <row r="7">
      <c r="A7" s="29" t="inlineStr">
        <is>
          <t>Durée totale planifiée (h)</t>
        </is>
      </c>
      <c r="B7" s="30">
        <f>SUM('Planning bornes'!F4:F13)</f>
        <v/>
      </c>
    </row>
    <row r="8">
      <c r="A8" s="27" t="inlineStr">
        <is>
          <t>Durée moyenne par réservation (h)</t>
        </is>
      </c>
      <c r="B8" s="30">
        <f>IFERROR(AVERAGE('Planning bornes'!F4:F13),0)</f>
        <v/>
      </c>
    </row>
    <row r="9">
      <c r="A9" s="29" t="inlineStr">
        <is>
          <t>Énergie totale prévue (kWh)</t>
        </is>
      </c>
      <c r="B9" s="30">
        <f>SUM('Planning bornes'!O4:O13)</f>
        <v/>
      </c>
    </row>
    <row r="10">
      <c r="A10" s="27" t="inlineStr">
        <is>
          <t>Chiffre d'affaires TTC estimé (€)</t>
        </is>
      </c>
      <c r="B10" s="31">
        <f>SUM('Planning bornes'!S4:S13)</f>
        <v/>
      </c>
    </row>
    <row r="11">
      <c r="A11" s="29" t="inlineStr">
        <is>
          <t>Taux d'annulation</t>
        </is>
      </c>
      <c r="B11" s="32">
        <f>IFERROR(COUNTIF('Planning bornes'!N4:N13,"Annulée")/COUNTA('Planning bornes'!A4:A13),0)</f>
        <v/>
      </c>
    </row>
    <row r="12">
      <c r="A12" s="27" t="inlineStr">
        <is>
          <t>Taux d'occupation global</t>
        </is>
      </c>
      <c r="B12" s="32">
        <f>IFERROR(SUM('Planning bornes'!F4:F13)/(COUNTIF(Referentiels!D4:D7,"Active")*10*24),0)</f>
        <v/>
      </c>
    </row>
    <row r="15">
      <c r="A15" s="25" t="inlineStr">
        <is>
          <t>Analyse par borne</t>
        </is>
      </c>
    </row>
    <row r="16">
      <c r="A16" s="2" t="inlineStr">
        <is>
          <t>Borne</t>
        </is>
      </c>
      <c r="B16" s="2" t="inlineStr">
        <is>
          <t>Type de prise</t>
        </is>
      </c>
      <c r="C16" s="2" t="inlineStr">
        <is>
          <t>Nombre de réservations</t>
        </is>
      </c>
      <c r="D16" s="2" t="inlineStr">
        <is>
          <t>Heures occupées</t>
        </is>
      </c>
      <c r="E16" s="2" t="inlineStr">
        <is>
          <t>Taux d'occupation</t>
        </is>
      </c>
      <c r="F16" s="2" t="inlineStr">
        <is>
          <t>Énergie prévue (kWh)</t>
        </is>
      </c>
      <c r="G16" s="2" t="inlineStr">
        <is>
          <t>Recettes TTC</t>
        </is>
      </c>
    </row>
    <row r="17">
      <c r="A17" s="13" t="inlineStr">
        <is>
          <t>Borne-01</t>
        </is>
      </c>
      <c r="B17" s="13">
        <f>IFERROR(VLOOKUP(A17,Referentiels!A:C,3,FALSE),"")</f>
        <v/>
      </c>
      <c r="C17" s="13">
        <f>COUNTIF('Planning bornes'!G4:G13,A17)</f>
        <v/>
      </c>
      <c r="D17" s="14">
        <f>SUMIF('Planning bornes'!G4:G13,A17,'Planning bornes'!F4:F13)</f>
        <v/>
      </c>
      <c r="E17" s="33">
        <f>IFERROR(D17/(10*24),0)</f>
        <v/>
      </c>
      <c r="F17" s="14">
        <f>SUMIF('Planning bornes'!G4:G13,A17,'Planning bornes'!O4:O13)</f>
        <v/>
      </c>
      <c r="G17" s="15">
        <f>SUMIF('Planning bornes'!G4:G13,A17,'Planning bornes'!S4:S13)</f>
        <v/>
      </c>
    </row>
    <row r="18">
      <c r="A18" s="5" t="inlineStr">
        <is>
          <t>Borne-02</t>
        </is>
      </c>
      <c r="B18" s="5">
        <f>IFERROR(VLOOKUP(A18,Referentiels!A:C,3,FALSE),"")</f>
        <v/>
      </c>
      <c r="C18" s="5">
        <f>COUNTIF('Planning bornes'!G4:G13,A18)</f>
        <v/>
      </c>
      <c r="D18" s="7">
        <f>SUMIF('Planning bornes'!G4:G13,A18,'Planning bornes'!F4:F13)</f>
        <v/>
      </c>
      <c r="E18" s="34">
        <f>IFERROR(D18/(10*24),0)</f>
        <v/>
      </c>
      <c r="F18" s="7">
        <f>SUMIF('Planning bornes'!G4:G13,A18,'Planning bornes'!O4:O13)</f>
        <v/>
      </c>
      <c r="G18" s="11">
        <f>SUMIF('Planning bornes'!G4:G13,A18,'Planning bornes'!S4:S13)</f>
        <v/>
      </c>
    </row>
    <row r="19">
      <c r="A19" s="13" t="inlineStr">
        <is>
          <t>Borne-03</t>
        </is>
      </c>
      <c r="B19" s="13">
        <f>IFERROR(VLOOKUP(A19,Referentiels!A:C,3,FALSE),"")</f>
        <v/>
      </c>
      <c r="C19" s="13">
        <f>COUNTIF('Planning bornes'!G4:G13,A19)</f>
        <v/>
      </c>
      <c r="D19" s="14">
        <f>SUMIF('Planning bornes'!G4:G13,A19,'Planning bornes'!F4:F13)</f>
        <v/>
      </c>
      <c r="E19" s="33">
        <f>IFERROR(D19/(10*24),0)</f>
        <v/>
      </c>
      <c r="F19" s="14">
        <f>SUMIF('Planning bornes'!G4:G13,A19,'Planning bornes'!O4:O13)</f>
        <v/>
      </c>
      <c r="G19" s="15">
        <f>SUMIF('Planning bornes'!G4:G13,A19,'Planning bornes'!S4:S13)</f>
        <v/>
      </c>
    </row>
    <row r="20">
      <c r="A20" s="5" t="inlineStr">
        <is>
          <t>Borne-04</t>
        </is>
      </c>
      <c r="B20" s="5">
        <f>IFERROR(VLOOKUP(A20,Referentiels!A:C,3,FALSE),"")</f>
        <v/>
      </c>
      <c r="C20" s="5">
        <f>COUNTIF('Planning bornes'!G4:G13,A20)</f>
        <v/>
      </c>
      <c r="D20" s="7">
        <f>SUMIF('Planning bornes'!G4:G13,A20,'Planning bornes'!F4:F13)</f>
        <v/>
      </c>
      <c r="E20" s="34">
        <f>IFERROR(D20/(10*24),0)</f>
        <v/>
      </c>
      <c r="F20" s="7">
        <f>SUMIF('Planning bornes'!G4:G13,A20,'Planning bornes'!O4:O13)</f>
        <v/>
      </c>
      <c r="G20" s="11">
        <f>SUMIF('Planning bornes'!G4:G13,A20,'Planning bornes'!S4:S13)</f>
        <v/>
      </c>
    </row>
    <row r="23">
      <c r="A23" s="25" t="inlineStr">
        <is>
          <t>Répartition par statut</t>
        </is>
      </c>
      <c r="D23" s="25" t="inlineStr">
        <is>
          <t>Occupation par date</t>
        </is>
      </c>
    </row>
    <row r="24">
      <c r="A24" s="21" t="inlineStr">
        <is>
          <t>Statut</t>
        </is>
      </c>
      <c r="B24" s="21" t="inlineStr">
        <is>
          <t>Nombre</t>
        </is>
      </c>
      <c r="D24" s="21" t="inlineStr">
        <is>
          <t>Date</t>
        </is>
      </c>
      <c r="E24" s="21" t="inlineStr">
        <is>
          <t>Heures occupées</t>
        </is>
      </c>
    </row>
    <row r="25">
      <c r="A25" s="35" t="inlineStr">
        <is>
          <t>Planifiée</t>
        </is>
      </c>
      <c r="B25" s="13">
        <f>COUNTIF('Planning bornes'!N4:N13,A25)</f>
        <v/>
      </c>
      <c r="D25" s="36" t="n">
        <v>46175</v>
      </c>
      <c r="E25" s="14">
        <f>SUMIF('Planning bornes'!B4:B13,D25,'Planning bornes'!F4:F13)</f>
        <v/>
      </c>
    </row>
    <row r="26">
      <c r="A26" s="35" t="inlineStr">
        <is>
          <t>En cours</t>
        </is>
      </c>
      <c r="B26" s="13">
        <f>COUNTIF('Planning bornes'!N4:N13,A26)</f>
        <v/>
      </c>
      <c r="D26" s="36" t="n">
        <v>46176</v>
      </c>
      <c r="E26" s="14">
        <f>SUMIF('Planning bornes'!B4:B13,D26,'Planning bornes'!F4:F13)</f>
        <v/>
      </c>
    </row>
    <row r="27">
      <c r="A27" s="35" t="inlineStr">
        <is>
          <t>Terminée</t>
        </is>
      </c>
      <c r="B27" s="13">
        <f>COUNTIF('Planning bornes'!N4:N13,A27)</f>
        <v/>
      </c>
      <c r="D27" s="36" t="n">
        <v>46177</v>
      </c>
      <c r="E27" s="14">
        <f>SUMIF('Planning bornes'!B4:B13,D27,'Planning bornes'!F4:F13)</f>
        <v/>
      </c>
    </row>
    <row r="28">
      <c r="A28" s="35" t="inlineStr">
        <is>
          <t>Annulée</t>
        </is>
      </c>
      <c r="B28" s="13">
        <f>COUNTIF('Planning bornes'!N4:N13,A28)</f>
        <v/>
      </c>
      <c r="D28" s="36" t="n">
        <v>46178</v>
      </c>
      <c r="E28" s="14">
        <f>SUMIF('Planning bornes'!B4:B13,D28,'Planning bornes'!F4:F13)</f>
        <v/>
      </c>
    </row>
    <row r="29">
      <c r="D29" s="36" t="n">
        <v>46181</v>
      </c>
      <c r="E29" s="14">
        <f>SUMIF('Planning bornes'!B4:B13,D29,'Planning bornes'!F4:F13)</f>
        <v/>
      </c>
    </row>
    <row r="30">
      <c r="D30" s="36" t="n">
        <v>46182</v>
      </c>
      <c r="E30" s="14">
        <f>SUMIF('Planning bornes'!B4:B13,D30,'Planning bornes'!F4:F13)</f>
        <v/>
      </c>
    </row>
    <row r="31">
      <c r="D31" s="36" t="n">
        <v>46183</v>
      </c>
      <c r="E31" s="14">
        <f>SUMIF('Planning bornes'!B4:B13,D31,'Planning bornes'!F4:F13)</f>
        <v/>
      </c>
    </row>
    <row r="32">
      <c r="D32" s="36" t="n">
        <v>46184</v>
      </c>
      <c r="E32" s="14">
        <f>SUMIF('Planning bornes'!B4:B13,D32,'Planning bornes'!F4:F13)</f>
        <v/>
      </c>
    </row>
    <row r="33">
      <c r="D33" s="36" t="n">
        <v>46185</v>
      </c>
      <c r="E33" s="14">
        <f>SUMIF('Planning bornes'!B4:B13,D33,'Planning bornes'!F4:F13)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2026-08-01T17:16:42Z</dcterms:created>
  <dcterms:modified xmlns:dcterms="http://purl.org/dc/terms/" xmlns:xsi="http://www.w3.org/2001/XMLSchema-instance" xsi:type="dcterms:W3CDTF">2026-08-01T17:16:42Z</dcterms:modified>
</cp:coreProperties>
</file>