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terventions" sheetId="1" state="visible" r:id="rId1"/>
    <sheet xmlns:r="http://schemas.openxmlformats.org/officeDocument/2006/relationships" name="Tableau de bord" sheetId="2" state="visible" r:id="rId2"/>
    <sheet xmlns:r="http://schemas.openxmlformats.org/officeDocument/2006/relationships" name="Référentiels" sheetId="3" state="visible" r:id="rId3"/>
  </sheets>
  <definedNames>
    <definedName name="_xlnm._FilterDatabase" localSheetId="0" hidden="1">'Interventions'!$A$1:$V$11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DD/MM/YYYY"/>
    <numFmt numFmtId="165" formatCode="# ##0,00 €"/>
    <numFmt numFmtId="166" formatCode="0,0 %"/>
    <numFmt numFmtId="167" formatCode="0,0"/>
  </numFmts>
  <fonts count="7">
    <font>
      <name val="Calibri"/>
      <family val="2"/>
      <color theme="1"/>
      <sz val="11"/>
      <scheme val="minor"/>
    </font>
    <font>
      <b val="1"/>
      <color rgb="001E293B"/>
      <sz val="14"/>
    </font>
    <font>
      <b val="1"/>
      <color rgb="00FFFFFF"/>
      <sz val="11"/>
    </font>
    <font>
      <b val="1"/>
      <color rgb="001E293B"/>
      <sz val="12"/>
    </font>
    <font>
      <b val="1"/>
      <sz val="11"/>
    </font>
    <font>
      <b val="1"/>
    </font>
    <font>
      <b val="1"/>
      <color rgb="001E293B"/>
    </font>
  </fonts>
  <fills count="6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E2E8F0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3" borderId="1" pivotButton="0" quotePrefix="0" xfId="0"/>
    <xf numFmtId="164" fontId="0" fillId="4" borderId="1" applyAlignment="1" pivotButton="0" quotePrefix="0" xfId="0">
      <alignment horizontal="center" vertical="center"/>
    </xf>
    <xf numFmtId="0" fontId="0" fillId="4" borderId="1" pivotButton="0" quotePrefix="0" xfId="0"/>
    <xf numFmtId="165" fontId="0" fillId="4" borderId="1" pivotButton="0" quotePrefix="0" xfId="0"/>
    <xf numFmtId="166" fontId="0" fillId="4" borderId="1" applyAlignment="1" pivotButton="0" quotePrefix="0" xfId="0">
      <alignment horizontal="center" vertical="center"/>
    </xf>
    <xf numFmtId="165" fontId="0" fillId="3" borderId="1" pivotButton="0" quotePrefix="0" xfId="0"/>
    <xf numFmtId="1" fontId="0" fillId="3" borderId="1" pivotButton="0" quotePrefix="0" xfId="0"/>
    <xf numFmtId="0" fontId="0" fillId="0" borderId="1" pivotButton="0" quotePrefix="0" xfId="0"/>
    <xf numFmtId="165" fontId="0" fillId="0" borderId="1" pivotButton="0" quotePrefix="0" xfId="0"/>
    <xf numFmtId="1" fontId="0" fillId="0" borderId="1" pivotButton="0" quotePrefix="0" xfId="0"/>
    <xf numFmtId="0" fontId="4" fillId="5" borderId="1" pivotButton="0" quotePrefix="0" xfId="0"/>
    <xf numFmtId="165" fontId="4" fillId="5" borderId="1" pivotButton="0" quotePrefix="0" xfId="0"/>
    <xf numFmtId="0" fontId="5" fillId="0" borderId="0" pivotButton="0" quotePrefix="0" xfId="0"/>
    <xf numFmtId="167" fontId="5" fillId="0" borderId="0" pivotButton="0" quotePrefix="0" xfId="0"/>
    <xf numFmtId="1" fontId="5" fillId="0" borderId="0" pivotButton="0" quotePrefix="0" xfId="0"/>
    <xf numFmtId="166" fontId="5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1" fontId="6" fillId="0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165" fontId="6" fillId="0" borderId="1" applyAlignment="1" pivotButton="0" quotePrefix="0" xfId="0">
      <alignment horizontal="center" vertical="center"/>
    </xf>
    <xf numFmtId="167" fontId="6" fillId="0" borderId="1" applyAlignment="1" pivotButton="0" quotePrefix="0" xfId="0">
      <alignment horizontal="center" vertical="center"/>
    </xf>
    <xf numFmtId="166" fontId="6" fillId="0" borderId="1" applyAlignment="1" pivotButton="0" quotePrefix="0" xfId="0">
      <alignment horizontal="center" vertical="center"/>
    </xf>
    <xf numFmtId="166" fontId="0" fillId="0" borderId="1" pivotButton="0" quotePrefix="0" xfId="0"/>
    <xf numFmtId="164" fontId="0" fillId="4" borderId="1" applyAlignment="1" pivotButton="0" quotePrefix="0" xfId="0">
      <alignment horizontal="center" vertical="center"/>
    </xf>
    <xf numFmtId="165" fontId="0" fillId="4" borderId="1" pivotButton="0" quotePrefix="0" xfId="0"/>
    <xf numFmtId="166" fontId="0" fillId="4" borderId="1" applyAlignment="1" pivotButton="0" quotePrefix="0" xfId="0">
      <alignment horizontal="center" vertical="center"/>
    </xf>
    <xf numFmtId="165" fontId="0" fillId="3" borderId="1" pivotButton="0" quotePrefix="0" xfId="0"/>
    <xf numFmtId="165" fontId="0" fillId="0" borderId="1" pivotButton="0" quotePrefix="0" xfId="0"/>
    <xf numFmtId="165" fontId="4" fillId="5" borderId="1" pivotButton="0" quotePrefix="0" xfId="0"/>
    <xf numFmtId="167" fontId="5" fillId="0" borderId="0" pivotButton="0" quotePrefix="0" xfId="0"/>
    <xf numFmtId="166" fontId="5" fillId="0" borderId="0" pivotButton="0" quotePrefix="0" xfId="0"/>
    <xf numFmtId="165" fontId="6" fillId="0" borderId="1" applyAlignment="1" pivotButton="0" quotePrefix="0" xfId="0">
      <alignment horizontal="center" vertical="center"/>
    </xf>
    <xf numFmtId="167" fontId="6" fillId="0" borderId="1" applyAlignment="1" pivotButton="0" quotePrefix="0" xfId="0">
      <alignment horizontal="center" vertical="center"/>
    </xf>
    <xf numFmtId="166" fontId="6" fillId="0" borderId="1" applyAlignment="1" pivotButton="0" quotePrefix="0" xfId="0">
      <alignment horizontal="center" vertical="center"/>
    </xf>
    <xf numFmtId="166" fontId="0" fillId="0" borderId="1" pivotButton="0" quotePrefix="0" xfId="0"/>
  </cellXfs>
  <cellStyles count="1">
    <cellStyle name="Normal" xfId="0" builtinId="0" hidden="0"/>
  </cellStyles>
  <dxfs count="3">
    <dxf>
      <font>
        <b val="1"/>
        <color rgb="0016A34A"/>
      </font>
    </dxf>
    <dxf>
      <font>
        <b val="1"/>
        <color rgb="00DC2626"/>
      </font>
    </dxf>
    <dxf>
      <fill>
        <patternFill patternType="solid">
          <fgColor rgb="00FEF9C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par statut</a:t>
            </a:r>
          </a:p>
        </rich>
      </tx>
    </title>
    <plotArea>
      <doughnutChart>
        <varyColors val="1"/>
        <ser>
          <idx val="0"/>
          <order val="0"/>
          <tx>
            <strRef>
              <f>'Tableau de bord'!E4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bord'!$D$5:$D$9</f>
            </numRef>
          </cat>
          <val>
            <numRef>
              <f>'Tableau de bord'!$E$5:$E$9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Montant HT par prestataire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bord'!F13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'Tableau de bord'!$D$14:$D$23</f>
            </numRef>
          </cat>
          <val>
            <numRef>
              <f>'Tableau de bord'!$F$14:$F$23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Évolution mensuelle du nombre d'interventions</a:t>
            </a:r>
          </a:p>
        </rich>
      </tx>
    </title>
    <plotArea>
      <lineChart>
        <grouping val="standard"/>
        <ser>
          <idx val="0"/>
          <order val="0"/>
          <tx>
            <strRef>
              <f>'Tableau de bord'!I4</f>
            </strRef>
          </tx>
          <spPr>
            <a:ln xmlns:a="http://schemas.openxmlformats.org/drawingml/2006/main" w="25000">
              <a:solidFill>
                <a:srgbClr val="C8102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'Tableau de bord'!$H$5:$H$10</f>
            </numRef>
          </cat>
          <val>
            <numRef>
              <f>'Tableau de bord'!$I$5:$I$10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13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30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9</col>
      <colOff>0</colOff>
      <row>3</row>
      <rowOff>0</rowOff>
    </from>
    <ext cx="504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2" customWidth="1" min="3" max="3"/>
    <col width="15" customWidth="1" min="4" max="4"/>
    <col width="18" customWidth="1" min="5" max="5"/>
    <col width="20" customWidth="1" min="6" max="6"/>
    <col width="13" customWidth="1" min="7" max="7"/>
    <col width="22" customWidth="1" min="8" max="8"/>
    <col width="18" customWidth="1" min="9" max="9"/>
    <col width="12" customWidth="1" min="10" max="10"/>
    <col width="10" customWidth="1" min="11" max="11"/>
    <col width="13" customWidth="1" min="12" max="12"/>
    <col width="13" customWidth="1" min="13" max="13"/>
    <col width="13" customWidth="1" min="14" max="14"/>
    <col width="10" customWidth="1" min="15" max="15"/>
    <col width="13" customWidth="1" min="16" max="16"/>
    <col width="13" customWidth="1" min="17" max="17"/>
    <col width="12" customWidth="1" min="18" max="18"/>
    <col width="14" customWidth="1" min="19" max="19"/>
    <col width="42" customWidth="1" min="20" max="20"/>
    <col width="12" customWidth="1" min="21" max="21"/>
    <col width="13" customWidth="1" min="22" max="22"/>
  </cols>
  <sheetData>
    <row r="1" ht="30" customHeight="1">
      <c r="A1" s="1" t="inlineStr">
        <is>
          <t>ID intervention</t>
        </is>
      </c>
      <c r="B1" s="1" t="inlineStr">
        <is>
          <t>Date de demande</t>
        </is>
      </c>
      <c r="C1" s="1" t="inlineStr">
        <is>
          <t>Date prévue</t>
        </is>
      </c>
      <c r="D1" s="1" t="inlineStr">
        <is>
          <t>Date de réalisation</t>
        </is>
      </c>
      <c r="E1" s="1" t="inlineStr">
        <is>
          <t>Prestataire</t>
        </is>
      </c>
      <c r="F1" s="1" t="inlineStr">
        <is>
          <t>SIRET</t>
        </is>
      </c>
      <c r="G1" s="1" t="inlineStr">
        <is>
          <t>Ville</t>
        </is>
      </c>
      <c r="H1" s="1" t="inlineStr">
        <is>
          <t>Type d'intervention</t>
        </is>
      </c>
      <c r="I1" s="1" t="inlineStr">
        <is>
          <t>Responsable interne</t>
        </is>
      </c>
      <c r="J1" s="1" t="inlineStr">
        <is>
          <t>Statut</t>
        </is>
      </c>
      <c r="K1" s="1" t="inlineStr">
        <is>
          <t>Priorité</t>
        </is>
      </c>
      <c r="L1" s="1" t="inlineStr">
        <is>
          <t>Durée prévue (h)</t>
        </is>
      </c>
      <c r="M1" s="1" t="inlineStr">
        <is>
          <t>Durée réelle (h)</t>
        </is>
      </c>
      <c r="N1" s="1" t="inlineStr">
        <is>
          <t>Montant HT</t>
        </is>
      </c>
      <c r="O1" s="1" t="inlineStr">
        <is>
          <t>Taux TVA</t>
        </is>
      </c>
      <c r="P1" s="1" t="inlineStr">
        <is>
          <t>Montant TVA</t>
        </is>
      </c>
      <c r="Q1" s="1" t="inlineStr">
        <is>
          <t>Montant TTC</t>
        </is>
      </c>
      <c r="R1" s="1" t="inlineStr">
        <is>
          <t>Note qualité /5</t>
        </is>
      </c>
      <c r="S1" s="1" t="inlineStr">
        <is>
          <t>Conforme RGPD / sécurité</t>
        </is>
      </c>
      <c r="T1" s="1" t="inlineStr">
        <is>
          <t>Commentaires</t>
        </is>
      </c>
      <c r="U1" s="1" t="inlineStr">
        <is>
          <t>Retard (jours)</t>
        </is>
      </c>
      <c r="V1" s="1" t="inlineStr">
        <is>
          <t>Écart de coût (h)</t>
        </is>
      </c>
    </row>
    <row r="2">
      <c r="A2" s="2" t="inlineStr">
        <is>
          <t>INT-2026-001</t>
        </is>
      </c>
      <c r="B2" s="27" t="n">
        <v>46027</v>
      </c>
      <c r="C2" s="27" t="n">
        <v>46034</v>
      </c>
      <c r="D2" s="27" t="n">
        <v>46034</v>
      </c>
      <c r="E2" s="2" t="inlineStr">
        <is>
          <t>Marie Dupont</t>
        </is>
      </c>
      <c r="F2" s="2" t="inlineStr">
        <is>
          <t>412 908 572 00018</t>
        </is>
      </c>
      <c r="G2" s="2" t="inlineStr">
        <is>
          <t>Paris</t>
        </is>
      </c>
      <c r="H2" s="2" t="inlineStr">
        <is>
          <t>Maintenance informatique</t>
        </is>
      </c>
      <c r="I2" s="4" t="inlineStr">
        <is>
          <t>Karim Lefebvre</t>
        </is>
      </c>
      <c r="J2" s="4" t="inlineStr">
        <is>
          <t>Terminée</t>
        </is>
      </c>
      <c r="K2" s="4" t="inlineStr">
        <is>
          <t>Haute</t>
        </is>
      </c>
      <c r="L2" s="4" t="n">
        <v>8</v>
      </c>
      <c r="M2" s="4" t="n">
        <v>8</v>
      </c>
      <c r="N2" s="28" t="n">
        <v>1200</v>
      </c>
      <c r="O2" s="29" t="n">
        <v>0.2</v>
      </c>
      <c r="P2" s="30">
        <f>N2*O2</f>
        <v/>
      </c>
      <c r="Q2" s="30">
        <f>N2+P2</f>
        <v/>
      </c>
      <c r="R2" s="4" t="n">
        <v>5</v>
      </c>
      <c r="S2" s="4" t="inlineStr">
        <is>
          <t>Oui</t>
        </is>
      </c>
      <c r="T2" s="4" t="inlineStr">
        <is>
          <t>Intervention conforme au devis.</t>
        </is>
      </c>
      <c r="U2" s="8">
        <f>IF(AND(J2&lt;&gt;"Terminée",C2&lt;TODAY()),TODAY()-C2,IF(AND(D2&lt;&gt;"",D2&gt;C2),D2-C2,0))</f>
        <v/>
      </c>
      <c r="V2" s="8">
        <f>IF(L2=0,0,M2-L2)</f>
        <v/>
      </c>
    </row>
    <row r="3">
      <c r="A3" s="9" t="inlineStr">
        <is>
          <t>INT-2026-002</t>
        </is>
      </c>
      <c r="B3" s="27" t="n">
        <v>46042</v>
      </c>
      <c r="C3" s="27" t="n">
        <v>46055</v>
      </c>
      <c r="D3" s="27" t="n">
        <v>46056</v>
      </c>
      <c r="E3" s="9" t="inlineStr">
        <is>
          <t>Julien Martin</t>
        </is>
      </c>
      <c r="F3" s="9" t="inlineStr">
        <is>
          <t>523 741 896 00025</t>
        </is>
      </c>
      <c r="G3" s="9" t="inlineStr">
        <is>
          <t>Lyon</t>
        </is>
      </c>
      <c r="H3" s="9" t="inlineStr">
        <is>
          <t>Nettoyage</t>
        </is>
      </c>
      <c r="I3" s="4" t="inlineStr">
        <is>
          <t>Julie Roche</t>
        </is>
      </c>
      <c r="J3" s="4" t="inlineStr">
        <is>
          <t>Terminée</t>
        </is>
      </c>
      <c r="K3" s="4" t="inlineStr">
        <is>
          <t>Normale</t>
        </is>
      </c>
      <c r="L3" s="4" t="n">
        <v>6</v>
      </c>
      <c r="M3" s="4" t="n">
        <v>7</v>
      </c>
      <c r="N3" s="28" t="n">
        <v>540</v>
      </c>
      <c r="O3" s="29" t="n">
        <v>0.2</v>
      </c>
      <c r="P3" s="31">
        <f>N3*O3</f>
        <v/>
      </c>
      <c r="Q3" s="31">
        <f>N3+P3</f>
        <v/>
      </c>
      <c r="R3" s="4" t="n">
        <v>4</v>
      </c>
      <c r="S3" s="4" t="inlineStr">
        <is>
          <t>Oui</t>
        </is>
      </c>
      <c r="T3" s="4" t="inlineStr">
        <is>
          <t>Léger dépassement horaire.</t>
        </is>
      </c>
      <c r="U3" s="11">
        <f>IF(AND(J3&lt;&gt;"Terminée",C3&lt;TODAY()),TODAY()-C3,IF(AND(D3&lt;&gt;"",D3&gt;C3),D3-C3,0))</f>
        <v/>
      </c>
      <c r="V3" s="11">
        <f>IF(L3=0,0,M3-L3)</f>
        <v/>
      </c>
    </row>
    <row r="4">
      <c r="A4" s="2" t="inlineStr">
        <is>
          <t>INT-2026-003</t>
        </is>
      </c>
      <c r="B4" s="27" t="n">
        <v>46063</v>
      </c>
      <c r="C4" s="27" t="n">
        <v>46078</v>
      </c>
      <c r="D4" s="27" t="n">
        <v>46078</v>
      </c>
      <c r="E4" s="2" t="inlineStr">
        <is>
          <t>Sophie Bernard</t>
        </is>
      </c>
      <c r="F4" s="2" t="inlineStr">
        <is>
          <t>398 654 217 00031</t>
        </is>
      </c>
      <c r="G4" s="2" t="inlineStr">
        <is>
          <t>Marseille</t>
        </is>
      </c>
      <c r="H4" s="2" t="inlineStr">
        <is>
          <t>Conseil RGPD</t>
        </is>
      </c>
      <c r="I4" s="4" t="inlineStr">
        <is>
          <t>Sara Benali</t>
        </is>
      </c>
      <c r="J4" s="4" t="inlineStr">
        <is>
          <t>Terminée</t>
        </is>
      </c>
      <c r="K4" s="4" t="inlineStr">
        <is>
          <t>Urgente</t>
        </is>
      </c>
      <c r="L4" s="4" t="n">
        <v>16</v>
      </c>
      <c r="M4" s="4" t="n">
        <v>15</v>
      </c>
      <c r="N4" s="28" t="n">
        <v>3200</v>
      </c>
      <c r="O4" s="29" t="n">
        <v>0.2</v>
      </c>
      <c r="P4" s="30">
        <f>N4*O4</f>
        <v/>
      </c>
      <c r="Q4" s="30">
        <f>N4+P4</f>
        <v/>
      </c>
      <c r="R4" s="4" t="n">
        <v>5</v>
      </c>
      <c r="S4" s="4" t="inlineStr">
        <is>
          <t>Oui</t>
        </is>
      </c>
      <c r="T4" s="4" t="inlineStr">
        <is>
          <t>Audit RGPD complet réalisé.</t>
        </is>
      </c>
      <c r="U4" s="8">
        <f>IF(AND(J4&lt;&gt;"Terminée",C4&lt;TODAY()),TODAY()-C4,IF(AND(D4&lt;&gt;"",D4&gt;C4),D4-C4,0))</f>
        <v/>
      </c>
      <c r="V4" s="8">
        <f>IF(L4=0,0,M4-L4)</f>
        <v/>
      </c>
    </row>
    <row r="5">
      <c r="A5" s="9" t="inlineStr">
        <is>
          <t>INT-2026-004</t>
        </is>
      </c>
      <c r="B5" s="27" t="n">
        <v>46084</v>
      </c>
      <c r="C5" s="27" t="n">
        <v>46097</v>
      </c>
      <c r="D5" s="27" t="n">
        <v>46099</v>
      </c>
      <c r="E5" s="9" t="inlineStr">
        <is>
          <t>Thomas Leroy</t>
        </is>
      </c>
      <c r="F5" s="9" t="inlineStr">
        <is>
          <t>784 512 369 00042</t>
        </is>
      </c>
      <c r="G5" s="9" t="inlineStr">
        <is>
          <t>Toulouse</t>
        </is>
      </c>
      <c r="H5" s="9" t="inlineStr">
        <is>
          <t>Réparation électrique</t>
        </is>
      </c>
      <c r="I5" s="4" t="inlineStr">
        <is>
          <t>Paul Vidal</t>
        </is>
      </c>
      <c r="J5" s="4" t="inlineStr">
        <is>
          <t>Terminée</t>
        </is>
      </c>
      <c r="K5" s="4" t="inlineStr">
        <is>
          <t>Haute</t>
        </is>
      </c>
      <c r="L5" s="4" t="n">
        <v>4</v>
      </c>
      <c r="M5" s="4" t="n">
        <v>5</v>
      </c>
      <c r="N5" s="28" t="n">
        <v>780</v>
      </c>
      <c r="O5" s="29" t="n">
        <v>0.1</v>
      </c>
      <c r="P5" s="31">
        <f>N5*O5</f>
        <v/>
      </c>
      <c r="Q5" s="31">
        <f>N5+P5</f>
        <v/>
      </c>
      <c r="R5" s="4" t="n">
        <v>4</v>
      </c>
      <c r="S5" s="4" t="inlineStr">
        <is>
          <t>Oui</t>
        </is>
      </c>
      <c r="T5" s="4" t="inlineStr">
        <is>
          <t>Deux jours de retard, pièce manquante.</t>
        </is>
      </c>
      <c r="U5" s="11">
        <f>IF(AND(J5&lt;&gt;"Terminée",C5&lt;TODAY()),TODAY()-C5,IF(AND(D5&lt;&gt;"",D5&gt;C5),D5-C5,0))</f>
        <v/>
      </c>
      <c r="V5" s="11">
        <f>IF(L5=0,0,M5-L5)</f>
        <v/>
      </c>
    </row>
    <row r="6">
      <c r="A6" s="2" t="inlineStr">
        <is>
          <t>INT-2026-005</t>
        </is>
      </c>
      <c r="B6" s="27" t="n">
        <v>46106</v>
      </c>
      <c r="C6" s="27" t="n">
        <v>46120</v>
      </c>
      <c r="D6" s="27" t="n">
        <v>46120</v>
      </c>
      <c r="E6" s="2" t="inlineStr">
        <is>
          <t>Camille Moreau</t>
        </is>
      </c>
      <c r="F6" s="2" t="inlineStr">
        <is>
          <t>652 147 893 00056</t>
        </is>
      </c>
      <c r="G6" s="2" t="inlineStr">
        <is>
          <t>Bordeaux</t>
        </is>
      </c>
      <c r="H6" s="2" t="inlineStr">
        <is>
          <t>Contrôle sécurité</t>
        </is>
      </c>
      <c r="I6" s="4" t="inlineStr">
        <is>
          <t>Nadia Costa</t>
        </is>
      </c>
      <c r="J6" s="4" t="inlineStr">
        <is>
          <t>Terminée</t>
        </is>
      </c>
      <c r="K6" s="4" t="inlineStr">
        <is>
          <t>Normale</t>
        </is>
      </c>
      <c r="L6" s="4" t="n">
        <v>8</v>
      </c>
      <c r="M6" s="4" t="n">
        <v>8</v>
      </c>
      <c r="N6" s="28" t="n">
        <v>1450</v>
      </c>
      <c r="O6" s="29" t="n">
        <v>0.2</v>
      </c>
      <c r="P6" s="30">
        <f>N6*O6</f>
        <v/>
      </c>
      <c r="Q6" s="30">
        <f>N6+P6</f>
        <v/>
      </c>
      <c r="R6" s="4" t="n">
        <v>5</v>
      </c>
      <c r="S6" s="4" t="inlineStr">
        <is>
          <t>Oui</t>
        </is>
      </c>
      <c r="T6" s="4" t="inlineStr">
        <is>
          <t>Rapport de contrôle transmis.</t>
        </is>
      </c>
      <c r="U6" s="8">
        <f>IF(AND(J6&lt;&gt;"Terminée",C6&lt;TODAY()),TODAY()-C6,IF(AND(D6&lt;&gt;"",D6&gt;C6),D6-C6,0))</f>
        <v/>
      </c>
      <c r="V6" s="8">
        <f>IF(L6=0,0,M6-L6)</f>
        <v/>
      </c>
    </row>
    <row r="7">
      <c r="A7" s="9" t="inlineStr">
        <is>
          <t>INT-2026-006</t>
        </is>
      </c>
      <c r="B7" s="27" t="n">
        <v>46126</v>
      </c>
      <c r="C7" s="27" t="n">
        <v>46140</v>
      </c>
      <c r="D7" s="27" t="n"/>
      <c r="E7" s="9" t="inlineStr">
        <is>
          <t>Nicolas Petit</t>
        </is>
      </c>
      <c r="F7" s="9" t="inlineStr">
        <is>
          <t>321 654 987 00063</t>
        </is>
      </c>
      <c r="G7" s="9" t="inlineStr">
        <is>
          <t>Lille</t>
        </is>
      </c>
      <c r="H7" s="9" t="inlineStr">
        <is>
          <t>Plomberie</t>
        </is>
      </c>
      <c r="I7" s="4" t="inlineStr">
        <is>
          <t>Paul Vidal</t>
        </is>
      </c>
      <c r="J7" s="4" t="inlineStr">
        <is>
          <t>En retard</t>
        </is>
      </c>
      <c r="K7" s="4" t="inlineStr">
        <is>
          <t>Urgente</t>
        </is>
      </c>
      <c r="L7" s="4" t="n">
        <v>5</v>
      </c>
      <c r="M7" s="4" t="n">
        <v>0</v>
      </c>
      <c r="N7" s="28" t="n">
        <v>620</v>
      </c>
      <c r="O7" s="29" t="n">
        <v>0.1</v>
      </c>
      <c r="P7" s="31">
        <f>N7*O7</f>
        <v/>
      </c>
      <c r="Q7" s="31">
        <f>N7+P7</f>
        <v/>
      </c>
      <c r="R7" s="4" t="n"/>
      <c r="S7" s="4" t="inlineStr">
        <is>
          <t>Non</t>
        </is>
      </c>
      <c r="T7" s="4" t="inlineStr">
        <is>
          <t>Fuite urgente, prestataire injoignable.</t>
        </is>
      </c>
      <c r="U7" s="11">
        <f>IF(AND(J7&lt;&gt;"Terminée",C7&lt;TODAY()),TODAY()-C7,IF(AND(D7&lt;&gt;"",D7&gt;C7),D7-C7,0))</f>
        <v/>
      </c>
      <c r="V7" s="11">
        <f>IF(L7=0,0,M7-L7)</f>
        <v/>
      </c>
    </row>
    <row r="8">
      <c r="A8" s="2" t="inlineStr">
        <is>
          <t>INT-2026-007</t>
        </is>
      </c>
      <c r="B8" s="27" t="n">
        <v>46147</v>
      </c>
      <c r="C8" s="27" t="n">
        <v>46162</v>
      </c>
      <c r="D8" s="27" t="n">
        <v>46162</v>
      </c>
      <c r="E8" s="2" t="inlineStr">
        <is>
          <t>Léa Roux</t>
        </is>
      </c>
      <c r="F8" s="2" t="inlineStr">
        <is>
          <t>845 963 217 00077</t>
        </is>
      </c>
      <c r="G8" s="2" t="inlineStr">
        <is>
          <t>Nantes</t>
        </is>
      </c>
      <c r="H8" s="2" t="inlineStr">
        <is>
          <t>Formation</t>
        </is>
      </c>
      <c r="I8" s="4" t="inlineStr">
        <is>
          <t>Julie Roche</t>
        </is>
      </c>
      <c r="J8" s="4" t="inlineStr">
        <is>
          <t>Terminée</t>
        </is>
      </c>
      <c r="K8" s="4" t="inlineStr">
        <is>
          <t>Normale</t>
        </is>
      </c>
      <c r="L8" s="4" t="n">
        <v>14</v>
      </c>
      <c r="M8" s="4" t="n">
        <v>14</v>
      </c>
      <c r="N8" s="28" t="n">
        <v>2800</v>
      </c>
      <c r="O8" s="29" t="n">
        <v>0.2</v>
      </c>
      <c r="P8" s="30">
        <f>N8*O8</f>
        <v/>
      </c>
      <c r="Q8" s="30">
        <f>N8+P8</f>
        <v/>
      </c>
      <c r="R8" s="4" t="n">
        <v>5</v>
      </c>
      <c r="S8" s="4" t="inlineStr">
        <is>
          <t>Oui</t>
        </is>
      </c>
      <c r="T8" s="4" t="inlineStr">
        <is>
          <t>Formation Excel niveau avancé.</t>
        </is>
      </c>
      <c r="U8" s="8">
        <f>IF(AND(J8&lt;&gt;"Terminée",C8&lt;TODAY()),TODAY()-C8,IF(AND(D8&lt;&gt;"",D8&gt;C8),D8-C8,0))</f>
        <v/>
      </c>
      <c r="V8" s="8">
        <f>IF(L8=0,0,M8-L8)</f>
        <v/>
      </c>
    </row>
    <row r="9">
      <c r="A9" s="9" t="inlineStr">
        <is>
          <t>INT-2026-008</t>
        </is>
      </c>
      <c r="B9" s="27" t="n">
        <v>46160</v>
      </c>
      <c r="C9" s="27" t="n">
        <v>46178</v>
      </c>
      <c r="D9" s="27" t="n"/>
      <c r="E9" s="9" t="inlineStr">
        <is>
          <t>Antoine Girard</t>
        </is>
      </c>
      <c r="F9" s="9" t="inlineStr">
        <is>
          <t>563 289 741 00084</t>
        </is>
      </c>
      <c r="G9" s="9" t="inlineStr">
        <is>
          <t>Strasbourg</t>
        </is>
      </c>
      <c r="H9" s="9" t="inlineStr">
        <is>
          <t>Maintenance informatique</t>
        </is>
      </c>
      <c r="I9" s="4" t="inlineStr">
        <is>
          <t>Karim Lefebvre</t>
        </is>
      </c>
      <c r="J9" s="4" t="inlineStr">
        <is>
          <t>En cours</t>
        </is>
      </c>
      <c r="K9" s="4" t="inlineStr">
        <is>
          <t>Haute</t>
        </is>
      </c>
      <c r="L9" s="4" t="n">
        <v>10</v>
      </c>
      <c r="M9" s="4" t="n">
        <v>6</v>
      </c>
      <c r="N9" s="28" t="n">
        <v>1500</v>
      </c>
      <c r="O9" s="29" t="n">
        <v>0.2</v>
      </c>
      <c r="P9" s="31">
        <f>N9*O9</f>
        <v/>
      </c>
      <c r="Q9" s="31">
        <f>N9+P9</f>
        <v/>
      </c>
      <c r="R9" s="4" t="n"/>
      <c r="S9" s="4" t="inlineStr">
        <is>
          <t>Oui</t>
        </is>
      </c>
      <c r="T9" s="4" t="inlineStr">
        <is>
          <t>Migration serveur en cours.</t>
        </is>
      </c>
      <c r="U9" s="11">
        <f>IF(AND(J9&lt;&gt;"Terminée",C9&lt;TODAY()),TODAY()-C9,IF(AND(D9&lt;&gt;"",D9&gt;C9),D9-C9,0))</f>
        <v/>
      </c>
      <c r="V9" s="11">
        <f>IF(L9=0,0,M9-L9)</f>
        <v/>
      </c>
    </row>
    <row r="10">
      <c r="A10" s="2" t="inlineStr">
        <is>
          <t>INT-2026-009</t>
        </is>
      </c>
      <c r="B10" s="27" t="n">
        <v>46174</v>
      </c>
      <c r="C10" s="27" t="n">
        <v>46185</v>
      </c>
      <c r="D10" s="27" t="n"/>
      <c r="E10" s="2" t="inlineStr">
        <is>
          <t>Chloé Faure</t>
        </is>
      </c>
      <c r="F10" s="2" t="inlineStr">
        <is>
          <t>697 415 283 00092</t>
        </is>
      </c>
      <c r="G10" s="2" t="inlineStr">
        <is>
          <t>Rennes</t>
        </is>
      </c>
      <c r="H10" s="2" t="inlineStr">
        <is>
          <t>Nettoyage</t>
        </is>
      </c>
      <c r="I10" s="4" t="inlineStr">
        <is>
          <t>Nadia Costa</t>
        </is>
      </c>
      <c r="J10" s="4" t="inlineStr">
        <is>
          <t>Annulée</t>
        </is>
      </c>
      <c r="K10" s="4" t="inlineStr">
        <is>
          <t>Basse</t>
        </is>
      </c>
      <c r="L10" s="4" t="n">
        <v>4</v>
      </c>
      <c r="M10" s="4" t="n">
        <v>0</v>
      </c>
      <c r="N10" s="28" t="n">
        <v>360</v>
      </c>
      <c r="O10" s="29" t="n">
        <v>0.2</v>
      </c>
      <c r="P10" s="30">
        <f>N10*O10</f>
        <v/>
      </c>
      <c r="Q10" s="30">
        <f>N10+P10</f>
        <v/>
      </c>
      <c r="R10" s="4" t="n"/>
      <c r="S10" s="4" t="inlineStr">
        <is>
          <t>Non</t>
        </is>
      </c>
      <c r="T10" s="4" t="inlineStr">
        <is>
          <t>Annulée à la demande du client.</t>
        </is>
      </c>
      <c r="U10" s="8">
        <f>IF(AND(J10&lt;&gt;"Terminée",C10&lt;TODAY()),TODAY()-C10,IF(AND(D10&lt;&gt;"",D10&gt;C10),D10-C10,0))</f>
        <v/>
      </c>
      <c r="V10" s="8">
        <f>IF(L10=0,0,M10-L10)</f>
        <v/>
      </c>
    </row>
    <row r="11">
      <c r="A11" s="9" t="inlineStr">
        <is>
          <t>INT-2026-010</t>
        </is>
      </c>
      <c r="B11" s="27" t="n">
        <v>46188</v>
      </c>
      <c r="C11" s="27" t="n">
        <v>46203</v>
      </c>
      <c r="D11" s="27" t="n"/>
      <c r="E11" s="9" t="inlineStr">
        <is>
          <t>Maxime André</t>
        </is>
      </c>
      <c r="F11" s="9" t="inlineStr">
        <is>
          <t>914 726 358 00105</t>
        </is>
      </c>
      <c r="G11" s="9" t="inlineStr">
        <is>
          <t>Montpellier</t>
        </is>
      </c>
      <c r="H11" s="9" t="inlineStr">
        <is>
          <t>Conseil RGPD</t>
        </is>
      </c>
      <c r="I11" s="4" t="inlineStr">
        <is>
          <t>Sara Benali</t>
        </is>
      </c>
      <c r="J11" s="4" t="inlineStr">
        <is>
          <t>Planifiée</t>
        </is>
      </c>
      <c r="K11" s="4" t="inlineStr">
        <is>
          <t>Normale</t>
        </is>
      </c>
      <c r="L11" s="4" t="n">
        <v>12</v>
      </c>
      <c r="M11" s="4" t="n">
        <v>0</v>
      </c>
      <c r="N11" s="28" t="n">
        <v>2400</v>
      </c>
      <c r="O11" s="29" t="n">
        <v>0.055</v>
      </c>
      <c r="P11" s="31">
        <f>N11*O11</f>
        <v/>
      </c>
      <c r="Q11" s="31">
        <f>N11+P11</f>
        <v/>
      </c>
      <c r="R11" s="4" t="n"/>
      <c r="S11" s="4" t="inlineStr">
        <is>
          <t>Oui</t>
        </is>
      </c>
      <c r="T11" s="4" t="inlineStr">
        <is>
          <t>Mise en conformité registre des traitements.</t>
        </is>
      </c>
      <c r="U11" s="11">
        <f>IF(AND(J11&lt;&gt;"Terminée",C11&lt;TODAY()),TODAY()-C11,IF(AND(D11&lt;&gt;"",D11&gt;C11),D11-C11,0))</f>
        <v/>
      </c>
      <c r="V11" s="11">
        <f>IF(L11=0,0,M11-L11)</f>
        <v/>
      </c>
    </row>
    <row r="12">
      <c r="M12" s="12" t="inlineStr">
        <is>
          <t>TOTAUX / INDICATEURS</t>
        </is>
      </c>
      <c r="N12" s="32">
        <f>SUM(N2:N11)</f>
        <v/>
      </c>
      <c r="P12" s="32">
        <f>SUM(P2:P11)</f>
        <v/>
      </c>
      <c r="Q12" s="32">
        <f>SUM(Q2:Q11)</f>
        <v/>
      </c>
    </row>
    <row r="13">
      <c r="M13" s="14" t="inlineStr">
        <is>
          <t>Durée moyenne réelle (h)</t>
        </is>
      </c>
      <c r="N13" s="33">
        <f>AVERAGE(M2:M11)</f>
        <v/>
      </c>
    </row>
    <row r="14">
      <c r="M14" s="14" t="inlineStr">
        <is>
          <t>Interventions terminées</t>
        </is>
      </c>
      <c r="N14" s="16">
        <f>COUNTIF(J2:J11,"Terminée")</f>
        <v/>
      </c>
    </row>
    <row r="15">
      <c r="M15" s="14" t="inlineStr">
        <is>
          <t>Taux de conformité</t>
        </is>
      </c>
      <c r="N15" s="34">
        <f>IFERROR(COUNTIF(S2:S11,"Oui")/COUNTA(S2:S11),0)</f>
        <v/>
      </c>
    </row>
  </sheetData>
  <autoFilter ref="A1:V11"/>
  <conditionalFormatting sqref="J2:J11">
    <cfRule type="cellIs" priority="1" operator="equal" dxfId="0" stopIfTrue="1">
      <formula>"Terminée"</formula>
    </cfRule>
    <cfRule type="cellIs" priority="2" operator="equal" dxfId="1" stopIfTrue="1">
      <formula>"Annulée"</formula>
    </cfRule>
    <cfRule type="cellIs" priority="3" operator="equal" dxfId="1" stopIfTrue="1">
      <formula>"En retard"</formula>
    </cfRule>
    <cfRule type="cellIs" priority="4" operator="equal" dxfId="2" stopIfTrue="1">
      <formula>"Planifiée"</formula>
    </cfRule>
  </conditionalFormatting>
  <conditionalFormatting sqref="U2:U11">
    <cfRule type="cellIs" priority="5" operator="greaterThan" dxfId="1" stopIfTrue="1">
      <formula>0</formula>
    </cfRule>
  </conditionalFormatting>
  <dataValidations count="5">
    <dataValidation sqref="J2:J50" showErrorMessage="1" showInputMessage="1" allowBlank="1" type="list">
      <formula1>Référentiels!$F$5:$F$9</formula1>
    </dataValidation>
    <dataValidation sqref="K2:K50" showErrorMessage="1" showInputMessage="1" allowBlank="1" type="list">
      <formula1>Référentiels!$G$5:$G$8</formula1>
    </dataValidation>
    <dataValidation sqref="O2:O50" showErrorMessage="1" showInputMessage="1" allowBlank="1" type="list">
      <formula1>Référentiels!$H$5:$H$7</formula1>
    </dataValidation>
    <dataValidation sqref="S2:S50" showErrorMessage="1" showInputMessage="1" allowBlank="1" type="list">
      <formula1>Référentiels!$I$5:$I$6</formula1>
    </dataValidation>
    <dataValidation sqref="H2:H50" showErrorMessage="1" showInputMessage="1" allowBlank="1" type="list">
      <formula1>Référentiels!$J$5:$J$11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cols>
    <col width="32" customWidth="1" min="1" max="1"/>
    <col width="16" customWidth="1" min="2" max="2"/>
    <col width="3" customWidth="1" min="3" max="3"/>
    <col width="20" customWidth="1" min="4" max="4"/>
    <col width="15" customWidth="1" min="5" max="5"/>
    <col width="15" customWidth="1" min="6" max="6"/>
    <col width="3" customWidth="1" min="7" max="7"/>
    <col width="14" customWidth="1" min="8" max="8"/>
    <col width="22" customWidth="1" min="9" max="9"/>
  </cols>
  <sheetData>
    <row r="1">
      <c r="A1" s="18" t="inlineStr">
        <is>
          <t>Tableau de bord — Suivi des interventions prestataires</t>
        </is>
      </c>
    </row>
    <row r="2"/>
    <row r="3">
      <c r="A3" s="19" t="inlineStr">
        <is>
          <t>Indicateurs clés</t>
        </is>
      </c>
      <c r="D3" s="19" t="inlineStr">
        <is>
          <t>Synthèse par statut</t>
        </is>
      </c>
      <c r="H3" s="19" t="inlineStr">
        <is>
          <t>Évolution mensuelle (date prévue)</t>
        </is>
      </c>
    </row>
    <row r="4">
      <c r="A4" s="9" t="inlineStr">
        <is>
          <t>Nombre total d'interventions</t>
        </is>
      </c>
      <c r="B4" s="20">
        <f>COUNTA(Interventions!A2:A11)</f>
        <v/>
      </c>
      <c r="D4" s="21" t="inlineStr">
        <is>
          <t>Statut</t>
        </is>
      </c>
      <c r="E4" s="21" t="inlineStr">
        <is>
          <t>Nombre</t>
        </is>
      </c>
      <c r="H4" s="21" t="inlineStr">
        <is>
          <t>Mois</t>
        </is>
      </c>
      <c r="I4" s="21" t="inlineStr">
        <is>
          <t>Nombre d'interventions</t>
        </is>
      </c>
    </row>
    <row r="5">
      <c r="A5" s="9" t="inlineStr">
        <is>
          <t>Interventions terminées</t>
        </is>
      </c>
      <c r="B5" s="20">
        <f>COUNTIF(Interventions!J2:J11,"Terminée")</f>
        <v/>
      </c>
      <c r="D5" s="9" t="inlineStr">
        <is>
          <t>Planifiée</t>
        </is>
      </c>
      <c r="E5" s="22">
        <f>COUNTIF(Interventions!$J$2:$J$11,D5)</f>
        <v/>
      </c>
      <c r="H5" s="9" t="inlineStr">
        <is>
          <t>Janvier</t>
        </is>
      </c>
      <c r="I5" s="22">
        <f>COUNTIFS(Interventions!$C$2:$C$11,"&gt;="&amp;DATE(2026,1,1),Interventions!$C$2:$C$11,"&lt;"&amp;DATE(2026,2,1))</f>
        <v/>
      </c>
    </row>
    <row r="6">
      <c r="A6" s="9" t="inlineStr">
        <is>
          <t>Interventions en retard</t>
        </is>
      </c>
      <c r="B6" s="20">
        <f>COUNTIF(Interventions!J2:J11,"En retard")</f>
        <v/>
      </c>
      <c r="D6" s="9" t="inlineStr">
        <is>
          <t>En cours</t>
        </is>
      </c>
      <c r="E6" s="22">
        <f>COUNTIF(Interventions!$J$2:$J$11,D6)</f>
        <v/>
      </c>
      <c r="H6" s="9" t="inlineStr">
        <is>
          <t>Février</t>
        </is>
      </c>
      <c r="I6" s="22">
        <f>COUNTIFS(Interventions!$C$2:$C$11,"&gt;="&amp;DATE(2026,2,1),Interventions!$C$2:$C$11,"&lt;"&amp;DATE(2026,3,1))</f>
        <v/>
      </c>
    </row>
    <row r="7">
      <c r="A7" s="9" t="inlineStr">
        <is>
          <t>Budget total HT</t>
        </is>
      </c>
      <c r="B7" s="35">
        <f>SUM(Interventions!N2:N11)</f>
        <v/>
      </c>
      <c r="D7" s="9" t="inlineStr">
        <is>
          <t>Terminée</t>
        </is>
      </c>
      <c r="E7" s="22">
        <f>COUNTIF(Interventions!$J$2:$J$11,D7)</f>
        <v/>
      </c>
      <c r="H7" s="9" t="inlineStr">
        <is>
          <t>Mars</t>
        </is>
      </c>
      <c r="I7" s="22">
        <f>COUNTIFS(Interventions!$C$2:$C$11,"&gt;="&amp;DATE(2026,3,1),Interventions!$C$2:$C$11,"&lt;"&amp;DATE(2026,4,1))</f>
        <v/>
      </c>
    </row>
    <row r="8">
      <c r="A8" s="9" t="inlineStr">
        <is>
          <t>Budget total TTC</t>
        </is>
      </c>
      <c r="B8" s="35">
        <f>SUM(Interventions!Q2:Q11)</f>
        <v/>
      </c>
      <c r="D8" s="9" t="inlineStr">
        <is>
          <t>Annulée</t>
        </is>
      </c>
      <c r="E8" s="22">
        <f>COUNTIF(Interventions!$J$2:$J$11,D8)</f>
        <v/>
      </c>
      <c r="H8" s="9" t="inlineStr">
        <is>
          <t>Avril</t>
        </is>
      </c>
      <c r="I8" s="22">
        <f>COUNTIFS(Interventions!$C$2:$C$11,"&gt;="&amp;DATE(2026,4,1),Interventions!$C$2:$C$11,"&lt;"&amp;DATE(2026,5,1))</f>
        <v/>
      </c>
    </row>
    <row r="9">
      <c r="A9" s="9" t="inlineStr">
        <is>
          <t>Note qualité moyenne</t>
        </is>
      </c>
      <c r="B9" s="36">
        <f>IFERROR(AVERAGE(Interventions!R2:R11),0)</f>
        <v/>
      </c>
      <c r="D9" s="9" t="inlineStr">
        <is>
          <t>En retard</t>
        </is>
      </c>
      <c r="E9" s="22">
        <f>COUNTIF(Interventions!$J$2:$J$11,D9)</f>
        <v/>
      </c>
      <c r="H9" s="9" t="inlineStr">
        <is>
          <t>Mai</t>
        </is>
      </c>
      <c r="I9" s="22">
        <f>COUNTIFS(Interventions!$C$2:$C$11,"&gt;="&amp;DATE(2026,5,1),Interventions!$C$2:$C$11,"&lt;"&amp;DATE(2026,6,1))</f>
        <v/>
      </c>
    </row>
    <row r="10">
      <c r="A10" s="9" t="inlineStr">
        <is>
          <t>Taux de conformité</t>
        </is>
      </c>
      <c r="B10" s="37">
        <f>IFERROR(COUNTIF(Interventions!S2:S11,"Oui")/COUNTA(Interventions!S2:S11),0)</f>
        <v/>
      </c>
      <c r="H10" s="9" t="inlineStr">
        <is>
          <t>Juin</t>
        </is>
      </c>
      <c r="I10" s="22">
        <f>COUNTIFS(Interventions!$C$2:$C$11,"&gt;="&amp;DATE(2026,6,1),Interventions!$C$2:$C$11,"&lt;"&amp;DATE(2026,7,1))</f>
        <v/>
      </c>
    </row>
    <row r="11">
      <c r="A11" s="9" t="inlineStr">
        <is>
          <t>Coût moyen par intervention</t>
        </is>
      </c>
      <c r="B11" s="35">
        <f>IFERROR(AVERAGE(Interventions!N2:N11),0)</f>
        <v/>
      </c>
    </row>
    <row r="12">
      <c r="D12" s="19" t="inlineStr">
        <is>
          <t>Synthèse par prestataire</t>
        </is>
      </c>
    </row>
    <row r="13">
      <c r="D13" s="21" t="inlineStr">
        <is>
          <t>Prestataire</t>
        </is>
      </c>
      <c r="E13" s="21" t="inlineStr">
        <is>
          <t>Ville</t>
        </is>
      </c>
      <c r="F13" s="21" t="inlineStr">
        <is>
          <t>Montant HT</t>
        </is>
      </c>
    </row>
    <row r="14">
      <c r="D14" s="9" t="inlineStr">
        <is>
          <t>Marie Dupont</t>
        </is>
      </c>
      <c r="E14" s="9">
        <f>IFERROR(VLOOKUP(D14,Référentiels!$A$4:$C$13,3,FALSE),"")</f>
        <v/>
      </c>
      <c r="F14" s="31">
        <f>SUMIF(Interventions!$E$2:$E$11,D14,Interventions!$N$2:$N$11)</f>
        <v/>
      </c>
    </row>
    <row r="15">
      <c r="D15" s="9" t="inlineStr">
        <is>
          <t>Julien Martin</t>
        </is>
      </c>
      <c r="E15" s="9">
        <f>IFERROR(VLOOKUP(D15,Référentiels!$A$4:$C$13,3,FALSE),"")</f>
        <v/>
      </c>
      <c r="F15" s="31">
        <f>SUMIF(Interventions!$E$2:$E$11,D15,Interventions!$N$2:$N$11)</f>
        <v/>
      </c>
    </row>
    <row r="16">
      <c r="D16" s="9" t="inlineStr">
        <is>
          <t>Sophie Bernard</t>
        </is>
      </c>
      <c r="E16" s="9">
        <f>IFERROR(VLOOKUP(D16,Référentiels!$A$4:$C$13,3,FALSE),"")</f>
        <v/>
      </c>
      <c r="F16" s="31">
        <f>SUMIF(Interventions!$E$2:$E$11,D16,Interventions!$N$2:$N$11)</f>
        <v/>
      </c>
    </row>
    <row r="17">
      <c r="D17" s="9" t="inlineStr">
        <is>
          <t>Thomas Leroy</t>
        </is>
      </c>
      <c r="E17" s="9">
        <f>IFERROR(VLOOKUP(D17,Référentiels!$A$4:$C$13,3,FALSE),"")</f>
        <v/>
      </c>
      <c r="F17" s="31">
        <f>SUMIF(Interventions!$E$2:$E$11,D17,Interventions!$N$2:$N$11)</f>
        <v/>
      </c>
    </row>
    <row r="18">
      <c r="D18" s="9" t="inlineStr">
        <is>
          <t>Camille Moreau</t>
        </is>
      </c>
      <c r="E18" s="9">
        <f>IFERROR(VLOOKUP(D18,Référentiels!$A$4:$C$13,3,FALSE),"")</f>
        <v/>
      </c>
      <c r="F18" s="31">
        <f>SUMIF(Interventions!$E$2:$E$11,D18,Interventions!$N$2:$N$11)</f>
        <v/>
      </c>
    </row>
    <row r="19">
      <c r="D19" s="9" t="inlineStr">
        <is>
          <t>Nicolas Petit</t>
        </is>
      </c>
      <c r="E19" s="9">
        <f>IFERROR(VLOOKUP(D19,Référentiels!$A$4:$C$13,3,FALSE),"")</f>
        <v/>
      </c>
      <c r="F19" s="31">
        <f>SUMIF(Interventions!$E$2:$E$11,D19,Interventions!$N$2:$N$11)</f>
        <v/>
      </c>
    </row>
    <row r="20">
      <c r="D20" s="9" t="inlineStr">
        <is>
          <t>Léa Roux</t>
        </is>
      </c>
      <c r="E20" s="9">
        <f>IFERROR(VLOOKUP(D20,Référentiels!$A$4:$C$13,3,FALSE),"")</f>
        <v/>
      </c>
      <c r="F20" s="31">
        <f>SUMIF(Interventions!$E$2:$E$11,D20,Interventions!$N$2:$N$11)</f>
        <v/>
      </c>
    </row>
    <row r="21">
      <c r="D21" s="9" t="inlineStr">
        <is>
          <t>Antoine Girard</t>
        </is>
      </c>
      <c r="E21" s="9">
        <f>IFERROR(VLOOKUP(D21,Référentiels!$A$4:$C$13,3,FALSE),"")</f>
        <v/>
      </c>
      <c r="F21" s="31">
        <f>SUMIF(Interventions!$E$2:$E$11,D21,Interventions!$N$2:$N$11)</f>
        <v/>
      </c>
    </row>
    <row r="22">
      <c r="D22" s="9" t="inlineStr">
        <is>
          <t>Chloé Faure</t>
        </is>
      </c>
      <c r="E22" s="9">
        <f>IFERROR(VLOOKUP(D22,Référentiels!$A$4:$C$13,3,FALSE),"")</f>
        <v/>
      </c>
      <c r="F22" s="31">
        <f>SUMIF(Interventions!$E$2:$E$11,D22,Interventions!$N$2:$N$11)</f>
        <v/>
      </c>
    </row>
    <row r="23">
      <c r="D23" s="9" t="inlineStr">
        <is>
          <t>Maxime André</t>
        </is>
      </c>
      <c r="E23" s="9">
        <f>IFERROR(VLOOKUP(D23,Référentiels!$A$4:$C$13,3,FALSE),"")</f>
        <v/>
      </c>
      <c r="F23" s="31">
        <f>SUMIF(Interventions!$E$2:$E$11,D23,Interventions!$N$2:$N$11)</f>
        <v/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cols>
    <col width="22" customWidth="1" min="1" max="1"/>
    <col width="20" customWidth="1" min="2" max="2"/>
    <col width="15" customWidth="1" min="3" max="3"/>
    <col width="25" customWidth="1" min="4" max="4"/>
    <col width="2" customWidth="1" min="5" max="5"/>
    <col width="15" customWidth="1" min="6" max="6"/>
    <col width="12" customWidth="1" min="7" max="7"/>
    <col width="10" customWidth="1" min="8" max="8"/>
    <col width="12" customWidth="1" min="9" max="9"/>
    <col width="25" customWidth="1" min="10" max="10"/>
  </cols>
  <sheetData>
    <row r="1">
      <c r="A1" s="18" t="inlineStr">
        <is>
          <t>Référentiels — Prestataires et listes de validation</t>
        </is>
      </c>
    </row>
    <row r="2"/>
    <row r="3">
      <c r="A3" s="21" t="inlineStr">
        <is>
          <t>Prestataire</t>
        </is>
      </c>
      <c r="B3" s="21" t="inlineStr">
        <is>
          <t>SIRET</t>
        </is>
      </c>
      <c r="C3" s="21" t="inlineStr">
        <is>
          <t>Ville</t>
        </is>
      </c>
      <c r="D3" s="21" t="inlineStr">
        <is>
          <t>Spécialité</t>
        </is>
      </c>
      <c r="F3" s="19" t="inlineStr">
        <is>
          <t>Listes de validation</t>
        </is>
      </c>
    </row>
    <row r="4">
      <c r="A4" s="2" t="inlineStr">
        <is>
          <t>Marie Dupont</t>
        </is>
      </c>
      <c r="B4" s="2" t="inlineStr">
        <is>
          <t>412 908 572 00018</t>
        </is>
      </c>
      <c r="C4" s="2" t="inlineStr">
        <is>
          <t>Paris</t>
        </is>
      </c>
      <c r="D4" s="2" t="inlineStr">
        <is>
          <t>Maintenance informatique</t>
        </is>
      </c>
      <c r="F4" s="21" t="inlineStr">
        <is>
          <t>Statuts</t>
        </is>
      </c>
      <c r="G4" s="21" t="inlineStr">
        <is>
          <t>Priorités</t>
        </is>
      </c>
      <c r="H4" s="21" t="inlineStr">
        <is>
          <t>Taux TVA</t>
        </is>
      </c>
      <c r="I4" s="21" t="inlineStr">
        <is>
          <t>Conformité</t>
        </is>
      </c>
      <c r="J4" s="21" t="inlineStr">
        <is>
          <t>Types d'intervention</t>
        </is>
      </c>
    </row>
    <row r="5">
      <c r="A5" s="9" t="inlineStr">
        <is>
          <t>Julien Martin</t>
        </is>
      </c>
      <c r="B5" s="9" t="inlineStr">
        <is>
          <t>523 741 896 00025</t>
        </is>
      </c>
      <c r="C5" s="9" t="inlineStr">
        <is>
          <t>Lyon</t>
        </is>
      </c>
      <c r="D5" s="9" t="inlineStr">
        <is>
          <t>Nettoyage</t>
        </is>
      </c>
      <c r="F5" s="9" t="inlineStr">
        <is>
          <t>Planifiée</t>
        </is>
      </c>
      <c r="G5" s="9" t="inlineStr">
        <is>
          <t>Basse</t>
        </is>
      </c>
      <c r="H5" s="38" t="n">
        <v>0.055</v>
      </c>
      <c r="I5" s="9" t="inlineStr">
        <is>
          <t>Oui</t>
        </is>
      </c>
      <c r="J5" s="9" t="inlineStr">
        <is>
          <t>Maintenance informatique</t>
        </is>
      </c>
    </row>
    <row r="6">
      <c r="A6" s="2" t="inlineStr">
        <is>
          <t>Sophie Bernard</t>
        </is>
      </c>
      <c r="B6" s="2" t="inlineStr">
        <is>
          <t>398 654 217 00031</t>
        </is>
      </c>
      <c r="C6" s="2" t="inlineStr">
        <is>
          <t>Marseille</t>
        </is>
      </c>
      <c r="D6" s="2" t="inlineStr">
        <is>
          <t>Conseil RGPD</t>
        </is>
      </c>
      <c r="F6" s="9" t="inlineStr">
        <is>
          <t>En cours</t>
        </is>
      </c>
      <c r="G6" s="9" t="inlineStr">
        <is>
          <t>Normale</t>
        </is>
      </c>
      <c r="H6" s="38" t="n">
        <v>0.1</v>
      </c>
      <c r="I6" s="9" t="inlineStr">
        <is>
          <t>Non</t>
        </is>
      </c>
      <c r="J6" s="9" t="inlineStr">
        <is>
          <t>Nettoyage</t>
        </is>
      </c>
    </row>
    <row r="7">
      <c r="A7" s="9" t="inlineStr">
        <is>
          <t>Thomas Leroy</t>
        </is>
      </c>
      <c r="B7" s="9" t="inlineStr">
        <is>
          <t>784 512 369 00042</t>
        </is>
      </c>
      <c r="C7" s="9" t="inlineStr">
        <is>
          <t>Toulouse</t>
        </is>
      </c>
      <c r="D7" s="9" t="inlineStr">
        <is>
          <t>Réparation électrique</t>
        </is>
      </c>
      <c r="F7" s="9" t="inlineStr">
        <is>
          <t>Terminée</t>
        </is>
      </c>
      <c r="G7" s="9" t="inlineStr">
        <is>
          <t>Haute</t>
        </is>
      </c>
      <c r="H7" s="38" t="n">
        <v>0.2</v>
      </c>
      <c r="J7" s="9" t="inlineStr">
        <is>
          <t>Conseil RGPD</t>
        </is>
      </c>
    </row>
    <row r="8">
      <c r="A8" s="2" t="inlineStr">
        <is>
          <t>Camille Moreau</t>
        </is>
      </c>
      <c r="B8" s="2" t="inlineStr">
        <is>
          <t>652 147 893 00056</t>
        </is>
      </c>
      <c r="C8" s="2" t="inlineStr">
        <is>
          <t>Bordeaux</t>
        </is>
      </c>
      <c r="D8" s="2" t="inlineStr">
        <is>
          <t>Contrôle sécurité</t>
        </is>
      </c>
      <c r="F8" s="9" t="inlineStr">
        <is>
          <t>Annulée</t>
        </is>
      </c>
      <c r="G8" s="9" t="inlineStr">
        <is>
          <t>Urgente</t>
        </is>
      </c>
      <c r="J8" s="9" t="inlineStr">
        <is>
          <t>Réparation électrique</t>
        </is>
      </c>
    </row>
    <row r="9">
      <c r="A9" s="9" t="inlineStr">
        <is>
          <t>Nicolas Petit</t>
        </is>
      </c>
      <c r="B9" s="9" t="inlineStr">
        <is>
          <t>321 654 987 00063</t>
        </is>
      </c>
      <c r="C9" s="9" t="inlineStr">
        <is>
          <t>Lille</t>
        </is>
      </c>
      <c r="D9" s="9" t="inlineStr">
        <is>
          <t>Plomberie</t>
        </is>
      </c>
      <c r="F9" s="9" t="inlineStr">
        <is>
          <t>En retard</t>
        </is>
      </c>
      <c r="J9" s="9" t="inlineStr">
        <is>
          <t>Contrôle sécurité</t>
        </is>
      </c>
    </row>
    <row r="10">
      <c r="A10" s="2" t="inlineStr">
        <is>
          <t>Léa Roux</t>
        </is>
      </c>
      <c r="B10" s="2" t="inlineStr">
        <is>
          <t>845 963 217 00077</t>
        </is>
      </c>
      <c r="C10" s="2" t="inlineStr">
        <is>
          <t>Nantes</t>
        </is>
      </c>
      <c r="D10" s="2" t="inlineStr">
        <is>
          <t>Formation</t>
        </is>
      </c>
      <c r="J10" s="9" t="inlineStr">
        <is>
          <t>Plomberie</t>
        </is>
      </c>
    </row>
    <row r="11">
      <c r="A11" s="9" t="inlineStr">
        <is>
          <t>Antoine Girard</t>
        </is>
      </c>
      <c r="B11" s="9" t="inlineStr">
        <is>
          <t>563 289 741 00084</t>
        </is>
      </c>
      <c r="C11" s="9" t="inlineStr">
        <is>
          <t>Strasbourg</t>
        </is>
      </c>
      <c r="D11" s="9" t="inlineStr">
        <is>
          <t>Maintenance informatique</t>
        </is>
      </c>
      <c r="J11" s="9" t="inlineStr">
        <is>
          <t>Formation</t>
        </is>
      </c>
    </row>
    <row r="12">
      <c r="A12" s="2" t="inlineStr">
        <is>
          <t>Chloé Faure</t>
        </is>
      </c>
      <c r="B12" s="2" t="inlineStr">
        <is>
          <t>697 415 283 00092</t>
        </is>
      </c>
      <c r="C12" s="2" t="inlineStr">
        <is>
          <t>Rennes</t>
        </is>
      </c>
      <c r="D12" s="2" t="inlineStr">
        <is>
          <t>Nettoyage</t>
        </is>
      </c>
    </row>
    <row r="13">
      <c r="A13" s="9" t="inlineStr">
        <is>
          <t>Maxime André</t>
        </is>
      </c>
      <c r="B13" s="9" t="inlineStr">
        <is>
          <t>914 726 358 00105</t>
        </is>
      </c>
      <c r="C13" s="9" t="inlineStr">
        <is>
          <t>Montpellier</t>
        </is>
      </c>
      <c r="D13" s="9" t="inlineStr">
        <is>
          <t>Conseil RGPD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2026-08-01T17:12:58Z</dcterms:created>
  <dcterms:modified xmlns:dcterms="http://purl.org/dc/terms/" xmlns:xsi="http://www.w3.org/2001/XMLSchema-instance" xsi:type="dcterms:W3CDTF">2026-08-01T17:12:58Z</dcterms:modified>
</cp:coreProperties>
</file>