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nnées_Entrées" sheetId="1" state="visible" r:id="rId1"/>
    <sheet xmlns:r="http://schemas.openxmlformats.org/officeDocument/2006/relationships" name="Synthèse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yyyy-mm-dd"/>
    <numFmt numFmtId="165" formatCode="DD/MM/YYYY"/>
    <numFmt numFmtId="166" formatCode="# ##0"/>
    <numFmt numFmtId="167" formatCode="# ##0,00 €"/>
    <numFmt numFmtId="168" formatCode="0,00%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1E293B"/>
      <sz val="10"/>
    </font>
    <font>
      <name val="Calibri"/>
      <b val="1"/>
      <color rgb="00C8102E"/>
      <sz val="13"/>
    </font>
    <font>
      <name val="Calibri"/>
      <b val="1"/>
      <color rgb="00FFFFFF"/>
      <sz val="10"/>
    </font>
    <font>
      <name val="Calibri"/>
      <b val="1"/>
      <color rgb="00FFFFFF"/>
      <sz val="14"/>
    </font>
    <font>
      <name val="Calibri"/>
      <b val="1"/>
      <sz val="10"/>
    </font>
    <font>
      <name val="Calibri"/>
      <b val="1"/>
      <color rgb="001E293B"/>
      <sz val="12"/>
    </font>
    <font>
      <name val="Calibri"/>
      <b val="1"/>
      <color rgb="00FFFFFF"/>
      <sz val="15"/>
    </font>
    <font>
      <name val="Calibri"/>
      <b val="1"/>
      <color rgb="00C8102E"/>
      <sz val="12"/>
    </font>
  </fonts>
  <fills count="14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CBD5E1"/>
      </patternFill>
    </fill>
    <fill>
      <patternFill patternType="solid">
        <fgColor rgb="00334155"/>
      </patternFill>
    </fill>
    <fill>
      <patternFill patternType="solid">
        <fgColor rgb="00E2E8F0"/>
      </patternFill>
    </fill>
    <fill>
      <patternFill patternType="solid">
        <fgColor rgb="00F0F9FF"/>
      </patternFill>
    </fill>
    <fill>
      <patternFill patternType="solid">
        <fgColor rgb="000F766E"/>
      </patternFill>
    </fill>
    <fill>
      <patternFill patternType="solid">
        <fgColor rgb="00FFF1F2"/>
      </patternFill>
    </fill>
    <fill>
      <patternFill patternType="solid">
        <fgColor rgb="00DCFCE7"/>
      </patternFill>
    </fill>
    <fill>
      <patternFill patternType="solid">
        <fgColor rgb="00FEE2E2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medium">
        <color rgb="0094A3B8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165" fontId="2" fillId="3" borderId="2" applyAlignment="1" pivotButton="0" quotePrefix="0" xfId="0">
      <alignment horizontal="center" vertical="center"/>
    </xf>
    <xf numFmtId="0" fontId="2" fillId="4" borderId="2" applyAlignment="1" pivotButton="0" quotePrefix="0" xfId="0">
      <alignment horizontal="left" vertical="center"/>
    </xf>
    <xf numFmtId="166" fontId="2" fillId="3" borderId="2" applyAlignment="1" pivotButton="0" quotePrefix="0" xfId="0">
      <alignment horizontal="center" vertical="center"/>
    </xf>
    <xf numFmtId="167" fontId="2" fillId="3" borderId="2" applyAlignment="1" pivotButton="0" quotePrefix="0" xfId="0">
      <alignment horizontal="center" vertical="center"/>
    </xf>
    <xf numFmtId="168" fontId="2" fillId="3" borderId="2" applyAlignment="1" pivotButton="0" quotePrefix="0" xfId="0">
      <alignment horizontal="center" vertical="center"/>
    </xf>
    <xf numFmtId="167" fontId="2" fillId="4" borderId="2" applyAlignment="1" pivotButton="0" quotePrefix="0" xfId="0">
      <alignment horizontal="center" vertical="center"/>
    </xf>
    <xf numFmtId="0" fontId="2" fillId="4" borderId="2" applyAlignment="1" pivotButton="0" quotePrefix="0" xfId="0">
      <alignment horizontal="center" vertical="center"/>
    </xf>
    <xf numFmtId="0" fontId="2" fillId="5" borderId="2" applyAlignment="1" pivotButton="0" quotePrefix="0" xfId="0">
      <alignment horizontal="left" vertical="center"/>
    </xf>
    <xf numFmtId="167" fontId="2" fillId="5" borderId="2" applyAlignment="1" pivotButton="0" quotePrefix="0" xfId="0">
      <alignment horizontal="center" vertical="center"/>
    </xf>
    <xf numFmtId="0" fontId="2" fillId="5" borderId="2" applyAlignment="1" pivotButton="0" quotePrefix="0" xfId="0">
      <alignment horizontal="center" vertical="center"/>
    </xf>
    <xf numFmtId="0" fontId="3" fillId="6" borderId="2" applyAlignment="1" pivotButton="0" quotePrefix="0" xfId="0">
      <alignment horizontal="center" vertical="center"/>
    </xf>
    <xf numFmtId="166" fontId="3" fillId="6" borderId="2" applyAlignment="1" pivotButton="0" quotePrefix="0" xfId="0">
      <alignment horizontal="center" vertical="center"/>
    </xf>
    <xf numFmtId="167" fontId="3" fillId="6" borderId="2" applyAlignment="1" pivotButton="0" quotePrefix="0" xfId="0">
      <alignment horizontal="center" vertical="center"/>
    </xf>
    <xf numFmtId="168" fontId="3" fillId="6" borderId="2" applyAlignment="1" pivotButton="0" quotePrefix="0" xfId="0">
      <alignment horizontal="center" vertical="center"/>
    </xf>
    <xf numFmtId="0" fontId="4" fillId="0" borderId="0" applyAlignment="1" pivotButton="0" quotePrefix="0" xfId="0">
      <alignment horizontal="left" vertical="center"/>
    </xf>
    <xf numFmtId="0" fontId="5" fillId="7" borderId="2" applyAlignment="1" pivotButton="0" quotePrefix="0" xfId="0">
      <alignment horizontal="center" vertical="center"/>
    </xf>
    <xf numFmtId="167" fontId="2" fillId="4" borderId="2" applyAlignment="1" pivotButton="0" quotePrefix="0" xfId="0">
      <alignment horizontal="right" vertical="center"/>
    </xf>
    <xf numFmtId="167" fontId="2" fillId="5" borderId="2" applyAlignment="1" pivotButton="0" quotePrefix="0" xfId="0">
      <alignment horizontal="right" vertical="center"/>
    </xf>
    <xf numFmtId="0" fontId="6" fillId="2" borderId="0" applyAlignment="1" pivotButton="0" quotePrefix="0" xfId="0">
      <alignment horizontal="center" vertical="center"/>
    </xf>
    <xf numFmtId="0" fontId="7" fillId="8" borderId="2" applyAlignment="1" pivotButton="0" quotePrefix="0" xfId="0">
      <alignment horizontal="left" vertical="center"/>
    </xf>
    <xf numFmtId="167" fontId="8" fillId="9" borderId="2" applyAlignment="1" pivotButton="0" quotePrefix="0" xfId="0">
      <alignment horizontal="center" vertical="center"/>
    </xf>
    <xf numFmtId="168" fontId="8" fillId="9" borderId="2" applyAlignment="1" pivotButton="0" quotePrefix="0" xfId="0">
      <alignment horizontal="center" vertical="center"/>
    </xf>
    <xf numFmtId="1" fontId="8" fillId="9" borderId="2" applyAlignment="1" pivotButton="0" quotePrefix="0" xfId="0">
      <alignment horizontal="center" vertical="center"/>
    </xf>
    <xf numFmtId="0" fontId="4" fillId="0" borderId="0" pivotButton="0" quotePrefix="0" xfId="0"/>
    <xf numFmtId="0" fontId="1" fillId="10" borderId="2" applyAlignment="1" pivotButton="0" quotePrefix="0" xfId="0">
      <alignment horizontal="center" vertical="center"/>
    </xf>
    <xf numFmtId="167" fontId="7" fillId="6" borderId="2" applyAlignment="1" pivotButton="0" quotePrefix="0" xfId="0">
      <alignment horizontal="right" vertical="center"/>
    </xf>
    <xf numFmtId="0" fontId="5" fillId="10" borderId="2" applyAlignment="1" pivotButton="0" quotePrefix="0" xfId="0">
      <alignment horizontal="center" vertical="center"/>
    </xf>
    <xf numFmtId="167" fontId="5" fillId="10" borderId="2" applyAlignment="1" pivotButton="0" quotePrefix="0" xfId="0">
      <alignment horizontal="right" vertical="center"/>
    </xf>
    <xf numFmtId="168" fontId="2" fillId="9" borderId="2" applyAlignment="1" pivotButton="0" quotePrefix="0" xfId="0">
      <alignment horizontal="center" vertical="center"/>
    </xf>
    <xf numFmtId="0" fontId="9" fillId="2" borderId="0" applyAlignment="1" pivotButton="0" quotePrefix="0" xfId="0">
      <alignment horizontal="center" vertical="center"/>
    </xf>
    <xf numFmtId="0" fontId="10" fillId="11" borderId="2" applyAlignment="1" pivotButton="0" quotePrefix="0" xfId="0">
      <alignment horizontal="left" vertical="center"/>
    </xf>
    <xf numFmtId="0" fontId="2" fillId="5" borderId="2" applyAlignment="1" pivotButton="0" quotePrefix="0" xfId="0">
      <alignment horizontal="left" vertical="top" wrapText="1"/>
    </xf>
    <xf numFmtId="0" fontId="0" fillId="3" borderId="2" pivotButton="0" quotePrefix="0" xfId="0"/>
    <xf numFmtId="0" fontId="0" fillId="12" borderId="2" pivotButton="0" quotePrefix="0" xfId="0"/>
    <xf numFmtId="0" fontId="0" fillId="13" borderId="2" pivotButton="0" quotePrefix="0" xfId="0"/>
    <xf numFmtId="0" fontId="0" fillId="2" borderId="2" pivotButton="0" quotePrefix="0" xfId="0"/>
    <xf numFmtId="0" fontId="0" fillId="8" borderId="2" pivotButton="0" quotePrefix="0" xfId="0"/>
  </cellXfs>
  <cellStyles count="1">
    <cellStyle name="Normal" xfId="0" builtinId="0" hidden="0"/>
  </cellStyles>
  <dxfs count="2">
    <dxf>
      <font>
        <b val="1"/>
        <color rgb="0016A34A"/>
      </font>
      <fill>
        <patternFill patternType="solid">
          <fgColor rgb="00DCFCE7"/>
        </patternFill>
      </fill>
    </dxf>
    <dxf>
      <font>
        <b val="1"/>
        <color rgb="00DC2626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CA HT par commercial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'Synthèse'!F12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'Synthèse'!$A$13:$A$22</f>
            </numRef>
          </cat>
          <val>
            <numRef>
              <f>'Synthèse'!$F$13:$F$22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Commercial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 HT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CA HT par famille de produits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0F766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14B8A6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F59E0B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C8102E"/>
              </a:solidFill>
              <a:ln xmlns:a="http://schemas.openxmlformats.org/drawingml/2006/main">
                <a:prstDash val="solid"/>
              </a:ln>
            </spPr>
          </dPt>
          <cat>
            <numRef>
              <f>'Synthèse'!$B$12:$E$12</f>
            </numRef>
          </cat>
          <val>
            <numRef>
              <f>'Synthèse'!$B$23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cat>
            <numRef>
              <f>'Synthèse'!$B$12:$E$12</f>
            </numRef>
          </cat>
          <val>
            <numRef>
              <f>'Synthèse'!$C$23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cat>
            <numRef>
              <f>'Synthèse'!$B$12:$E$12</f>
            </numRef>
          </cat>
          <val>
            <numRef>
              <f>'Synthèse'!$D$23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cat>
            <numRef>
              <f>'Synthèse'!$B$12:$E$12</f>
            </numRef>
          </cat>
          <val>
            <numRef>
              <f>'Synthèse'!$E$23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720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20</row>
      <rowOff>0</rowOff>
    </from>
    <ext cx="5760000" cy="50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25"/>
  <sheetViews>
    <sheetView showGridLines="1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20" customWidth="1" min="2" max="2"/>
    <col width="16" customWidth="1" min="3" max="3"/>
    <col width="22" customWidth="1" min="4" max="4"/>
    <col width="14" customWidth="1" min="5" max="5"/>
    <col width="10" customWidth="1" min="6" max="6"/>
    <col width="18" customWidth="1" min="7" max="7"/>
    <col width="12" customWidth="1" min="8" max="8"/>
    <col width="10" customWidth="1" min="9" max="9"/>
    <col width="16" customWidth="1" min="10" max="10"/>
    <col width="14" customWidth="1" min="11" max="11"/>
    <col width="16" customWidth="1" min="12" max="12"/>
    <col width="18" customWidth="1" min="13" max="13"/>
    <col width="18" customWidth="1" min="14" max="14"/>
    <col width="18" customWidth="1" min="15" max="15"/>
  </cols>
  <sheetData>
    <row r="1" ht="22" customHeight="1">
      <c r="A1" s="1" t="inlineStr">
        <is>
          <t>Date</t>
        </is>
      </c>
      <c r="B1" s="1" t="inlineStr">
        <is>
          <t>Commercial</t>
        </is>
      </c>
      <c r="C1" s="1" t="inlineStr">
        <is>
          <t>Ville</t>
        </is>
      </c>
      <c r="D1" s="1" t="inlineStr">
        <is>
          <t>Famille de produits</t>
        </is>
      </c>
      <c r="E1" s="1" t="inlineStr">
        <is>
          <t>Canal</t>
        </is>
      </c>
      <c r="F1" s="1" t="inlineStr">
        <is>
          <t>Quantité</t>
        </is>
      </c>
      <c r="G1" s="1" t="inlineStr">
        <is>
          <t>Prix unitaire HT</t>
        </is>
      </c>
      <c r="H1" s="1" t="inlineStr">
        <is>
          <t>Remise %</t>
        </is>
      </c>
      <c r="I1" s="1" t="inlineStr">
        <is>
          <t>TVA %</t>
        </is>
      </c>
      <c r="J1" s="1" t="inlineStr">
        <is>
          <t>CA HT</t>
        </is>
      </c>
      <c r="K1" s="1" t="inlineStr">
        <is>
          <t>TVA</t>
        </is>
      </c>
      <c r="L1" s="1" t="inlineStr">
        <is>
          <t>CA TTC</t>
        </is>
      </c>
      <c r="M1" s="1" t="inlineStr">
        <is>
          <t>Objectif mensuel</t>
        </is>
      </c>
      <c r="N1" s="1" t="inlineStr">
        <is>
          <t>Écart vs objectif</t>
        </is>
      </c>
      <c r="O1" s="1" t="inlineStr">
        <is>
          <t>Atteinte objectif</t>
        </is>
      </c>
    </row>
    <row r="2">
      <c r="A2" s="2" t="n">
        <v>46037</v>
      </c>
      <c r="B2" s="3" t="inlineStr">
        <is>
          <t>Marie Dubois</t>
        </is>
      </c>
      <c r="C2" s="3" t="inlineStr">
        <is>
          <t>Paris</t>
        </is>
      </c>
      <c r="D2" s="3" t="inlineStr">
        <is>
          <t>Logiciels</t>
        </is>
      </c>
      <c r="E2" s="3" t="inlineStr">
        <is>
          <t>Téléphone</t>
        </is>
      </c>
      <c r="F2" s="4" t="n">
        <v>12</v>
      </c>
      <c r="G2" s="5" t="n">
        <v>850</v>
      </c>
      <c r="H2" s="6" t="n">
        <v>0.05</v>
      </c>
      <c r="I2" s="6" t="n">
        <v>0.2</v>
      </c>
      <c r="J2" s="7">
        <f>F2*G2*(1-H2)</f>
        <v/>
      </c>
      <c r="K2" s="7">
        <f>J2*I2</f>
        <v/>
      </c>
      <c r="L2" s="7">
        <f>J2+K2</f>
        <v/>
      </c>
      <c r="M2" s="5" t="n">
        <v>9500</v>
      </c>
      <c r="N2" s="7">
        <f>J2-M2</f>
        <v/>
      </c>
      <c r="O2" s="8">
        <f>IF(J2&gt;=M2,"Atteint","Non atteint")</f>
        <v/>
      </c>
    </row>
    <row r="3">
      <c r="A3" s="2" t="n">
        <v>46050</v>
      </c>
      <c r="B3" s="9" t="inlineStr">
        <is>
          <t>Julien Martin</t>
        </is>
      </c>
      <c r="C3" s="9" t="inlineStr">
        <is>
          <t>Lyon</t>
        </is>
      </c>
      <c r="D3" s="9" t="inlineStr">
        <is>
          <t>Services</t>
        </is>
      </c>
      <c r="E3" s="9" t="inlineStr">
        <is>
          <t>E-mail</t>
        </is>
      </c>
      <c r="F3" s="4" t="n">
        <v>8</v>
      </c>
      <c r="G3" s="5" t="n">
        <v>1200</v>
      </c>
      <c r="H3" s="6" t="n">
        <v>0.1</v>
      </c>
      <c r="I3" s="6" t="n">
        <v>0.2</v>
      </c>
      <c r="J3" s="10">
        <f>F3*G3*(1-H3)</f>
        <v/>
      </c>
      <c r="K3" s="10">
        <f>J3*I3</f>
        <v/>
      </c>
      <c r="L3" s="10">
        <f>J3+K3</f>
        <v/>
      </c>
      <c r="M3" s="5" t="n">
        <v>10200</v>
      </c>
      <c r="N3" s="10">
        <f>J3-M3</f>
        <v/>
      </c>
      <c r="O3" s="11">
        <f>IF(J3&gt;=M3,"Atteint","Non atteint")</f>
        <v/>
      </c>
    </row>
    <row r="4">
      <c r="A4" s="2" t="n">
        <v>46063</v>
      </c>
      <c r="B4" s="3" t="inlineStr">
        <is>
          <t>Sophie Bernard</t>
        </is>
      </c>
      <c r="C4" s="3" t="inlineStr">
        <is>
          <t>Marseille</t>
        </is>
      </c>
      <c r="D4" s="3" t="inlineStr">
        <is>
          <t>Matériel</t>
        </is>
      </c>
      <c r="E4" s="3" t="inlineStr">
        <is>
          <t>Site web</t>
        </is>
      </c>
      <c r="F4" s="4" t="n">
        <v>20</v>
      </c>
      <c r="G4" s="5" t="n">
        <v>430</v>
      </c>
      <c r="H4" s="6" t="n">
        <v>0</v>
      </c>
      <c r="I4" s="6" t="n">
        <v>0.2</v>
      </c>
      <c r="J4" s="7">
        <f>F4*G4*(1-H4)</f>
        <v/>
      </c>
      <c r="K4" s="7">
        <f>J4*I4</f>
        <v/>
      </c>
      <c r="L4" s="7">
        <f>J4+K4</f>
        <v/>
      </c>
      <c r="M4" s="5" t="n">
        <v>8000</v>
      </c>
      <c r="N4" s="7">
        <f>J4-M4</f>
        <v/>
      </c>
      <c r="O4" s="8">
        <f>IF(J4&gt;=M4,"Atteint","Non atteint")</f>
        <v/>
      </c>
    </row>
    <row r="5">
      <c r="A5" s="2" t="n">
        <v>46073</v>
      </c>
      <c r="B5" s="9" t="inlineStr">
        <is>
          <t>Thomas Petit</t>
        </is>
      </c>
      <c r="C5" s="9" t="inlineStr">
        <is>
          <t>Toulouse</t>
        </is>
      </c>
      <c r="D5" s="9" t="inlineStr">
        <is>
          <t>Maintenance</t>
        </is>
      </c>
      <c r="E5" s="9" t="inlineStr">
        <is>
          <t>Salon</t>
        </is>
      </c>
      <c r="F5" s="4" t="n">
        <v>5</v>
      </c>
      <c r="G5" s="5" t="n">
        <v>750</v>
      </c>
      <c r="H5" s="6" t="n">
        <v>0.08</v>
      </c>
      <c r="I5" s="6" t="n">
        <v>0.2</v>
      </c>
      <c r="J5" s="10">
        <f>F5*G5*(1-H5)</f>
        <v/>
      </c>
      <c r="K5" s="10">
        <f>J5*I5</f>
        <v/>
      </c>
      <c r="L5" s="10">
        <f>J5+K5</f>
        <v/>
      </c>
      <c r="M5" s="5" t="n">
        <v>6500</v>
      </c>
      <c r="N5" s="10">
        <f>J5-M5</f>
        <v/>
      </c>
      <c r="O5" s="11">
        <f>IF(J5&gt;=M5,"Atteint","Non atteint")</f>
        <v/>
      </c>
    </row>
    <row r="6">
      <c r="A6" s="2" t="n">
        <v>46086</v>
      </c>
      <c r="B6" s="3" t="inlineStr">
        <is>
          <t>Camille Robert</t>
        </is>
      </c>
      <c r="C6" s="3" t="inlineStr">
        <is>
          <t>Bordeaux</t>
        </is>
      </c>
      <c r="D6" s="3" t="inlineStr">
        <is>
          <t>Logiciels</t>
        </is>
      </c>
      <c r="E6" s="3" t="inlineStr">
        <is>
          <t>Téléphone</t>
        </is>
      </c>
      <c r="F6" s="4" t="n">
        <v>15</v>
      </c>
      <c r="G6" s="5" t="n">
        <v>920</v>
      </c>
      <c r="H6" s="6" t="n">
        <v>0.05</v>
      </c>
      <c r="I6" s="6" t="n">
        <v>0.2</v>
      </c>
      <c r="J6" s="7">
        <f>F6*G6*(1-H6)</f>
        <v/>
      </c>
      <c r="K6" s="7">
        <f>J6*I6</f>
        <v/>
      </c>
      <c r="L6" s="7">
        <f>J6+K6</f>
        <v/>
      </c>
      <c r="M6" s="5" t="n">
        <v>11000</v>
      </c>
      <c r="N6" s="7">
        <f>J6-M6</f>
        <v/>
      </c>
      <c r="O6" s="8">
        <f>IF(J6&gt;=M6,"Atteint","Non atteint")</f>
        <v/>
      </c>
    </row>
    <row r="7">
      <c r="A7" s="2" t="n">
        <v>46099</v>
      </c>
      <c r="B7" s="9" t="inlineStr">
        <is>
          <t>Nicolas Leroy</t>
        </is>
      </c>
      <c r="C7" s="9" t="inlineStr">
        <is>
          <t>Lille</t>
        </is>
      </c>
      <c r="D7" s="9" t="inlineStr">
        <is>
          <t>Services</t>
        </is>
      </c>
      <c r="E7" s="9" t="inlineStr">
        <is>
          <t>E-mail</t>
        </is>
      </c>
      <c r="F7" s="4" t="n">
        <v>10</v>
      </c>
      <c r="G7" s="5" t="n">
        <v>1050</v>
      </c>
      <c r="H7" s="6" t="n">
        <v>0.12</v>
      </c>
      <c r="I7" s="6" t="n">
        <v>0.2</v>
      </c>
      <c r="J7" s="10">
        <f>F7*G7*(1-H7)</f>
        <v/>
      </c>
      <c r="K7" s="10">
        <f>J7*I7</f>
        <v/>
      </c>
      <c r="L7" s="10">
        <f>J7+K7</f>
        <v/>
      </c>
      <c r="M7" s="5" t="n">
        <v>9000</v>
      </c>
      <c r="N7" s="10">
        <f>J7-M7</f>
        <v/>
      </c>
      <c r="O7" s="11">
        <f>IF(J7&gt;=M7,"Atteint","Non atteint")</f>
        <v/>
      </c>
    </row>
    <row r="8">
      <c r="A8" s="2" t="n">
        <v>46114</v>
      </c>
      <c r="B8" s="3" t="inlineStr">
        <is>
          <t>Léa Moreau</t>
        </is>
      </c>
      <c r="C8" s="3" t="inlineStr">
        <is>
          <t>Nantes</t>
        </is>
      </c>
      <c r="D8" s="3" t="inlineStr">
        <is>
          <t>Matériel</t>
        </is>
      </c>
      <c r="E8" s="3" t="inlineStr">
        <is>
          <t>Site web</t>
        </is>
      </c>
      <c r="F8" s="4" t="n">
        <v>25</v>
      </c>
      <c r="G8" s="5" t="n">
        <v>380</v>
      </c>
      <c r="H8" s="6" t="n">
        <v>0</v>
      </c>
      <c r="I8" s="6" t="n">
        <v>0.2</v>
      </c>
      <c r="J8" s="7">
        <f>F8*G8*(1-H8)</f>
        <v/>
      </c>
      <c r="K8" s="7">
        <f>J8*I8</f>
        <v/>
      </c>
      <c r="L8" s="7">
        <f>J8+K8</f>
        <v/>
      </c>
      <c r="M8" s="5" t="n">
        <v>7500</v>
      </c>
      <c r="N8" s="7">
        <f>J8-M8</f>
        <v/>
      </c>
      <c r="O8" s="8">
        <f>IF(J8&gt;=M8,"Atteint","Non atteint")</f>
        <v/>
      </c>
    </row>
    <row r="9">
      <c r="A9" s="2" t="n">
        <v>46134</v>
      </c>
      <c r="B9" s="9" t="inlineStr">
        <is>
          <t>Antoine Simon</t>
        </is>
      </c>
      <c r="C9" s="9" t="inlineStr">
        <is>
          <t>Strasbourg</t>
        </is>
      </c>
      <c r="D9" s="9" t="inlineStr">
        <is>
          <t>Maintenance</t>
        </is>
      </c>
      <c r="E9" s="9" t="inlineStr">
        <is>
          <t>Salon</t>
        </is>
      </c>
      <c r="F9" s="4" t="n">
        <v>7</v>
      </c>
      <c r="G9" s="5" t="n">
        <v>680</v>
      </c>
      <c r="H9" s="6" t="n">
        <v>0.07000000000000001</v>
      </c>
      <c r="I9" s="6" t="n">
        <v>0.1</v>
      </c>
      <c r="J9" s="10">
        <f>F9*G9*(1-H9)</f>
        <v/>
      </c>
      <c r="K9" s="10">
        <f>J9*I9</f>
        <v/>
      </c>
      <c r="L9" s="10">
        <f>J9+K9</f>
        <v/>
      </c>
      <c r="M9" s="5" t="n">
        <v>5800</v>
      </c>
      <c r="N9" s="10">
        <f>J9-M9</f>
        <v/>
      </c>
      <c r="O9" s="11">
        <f>IF(J9&gt;=M9,"Atteint","Non atteint")</f>
        <v/>
      </c>
    </row>
    <row r="10">
      <c r="A10" s="2" t="n">
        <v>46156</v>
      </c>
      <c r="B10" s="3" t="inlineStr">
        <is>
          <t>Chloé Laurent</t>
        </is>
      </c>
      <c r="C10" s="3" t="inlineStr">
        <is>
          <t>Rennes</t>
        </is>
      </c>
      <c r="D10" s="3" t="inlineStr">
        <is>
          <t>Logiciels</t>
        </is>
      </c>
      <c r="E10" s="3" t="inlineStr">
        <is>
          <t>Téléphone</t>
        </is>
      </c>
      <c r="F10" s="4" t="n">
        <v>18</v>
      </c>
      <c r="G10" s="5" t="n">
        <v>870</v>
      </c>
      <c r="H10" s="6" t="n">
        <v>0.05</v>
      </c>
      <c r="I10" s="6" t="n">
        <v>0.2</v>
      </c>
      <c r="J10" s="7">
        <f>F10*G10*(1-H10)</f>
        <v/>
      </c>
      <c r="K10" s="7">
        <f>J10*I10</f>
        <v/>
      </c>
      <c r="L10" s="7">
        <f>J10+K10</f>
        <v/>
      </c>
      <c r="M10" s="5" t="n">
        <v>12000</v>
      </c>
      <c r="N10" s="7">
        <f>J10-M10</f>
        <v/>
      </c>
      <c r="O10" s="8">
        <f>IF(J10&gt;=M10,"Atteint","Non atteint")</f>
        <v/>
      </c>
    </row>
    <row r="11">
      <c r="A11" s="2" t="n">
        <v>46176</v>
      </c>
      <c r="B11" s="9" t="inlineStr">
        <is>
          <t>Maxime Garcia</t>
        </is>
      </c>
      <c r="C11" s="9" t="inlineStr">
        <is>
          <t>Montpellier</t>
        </is>
      </c>
      <c r="D11" s="9" t="inlineStr">
        <is>
          <t>Services</t>
        </is>
      </c>
      <c r="E11" s="9" t="inlineStr">
        <is>
          <t>Site web</t>
        </is>
      </c>
      <c r="F11" s="4" t="n">
        <v>6</v>
      </c>
      <c r="G11" s="5" t="n">
        <v>1300</v>
      </c>
      <c r="H11" s="6" t="n">
        <v>0.1</v>
      </c>
      <c r="I11" s="6" t="n">
        <v>0.2</v>
      </c>
      <c r="J11" s="10">
        <f>F11*G11*(1-H11)</f>
        <v/>
      </c>
      <c r="K11" s="10">
        <f>J11*I11</f>
        <v/>
      </c>
      <c r="L11" s="10">
        <f>J11+K11</f>
        <v/>
      </c>
      <c r="M11" s="5" t="n">
        <v>8500</v>
      </c>
      <c r="N11" s="10">
        <f>J11-M11</f>
        <v/>
      </c>
      <c r="O11" s="11">
        <f>IF(J11&gt;=M11,"Atteint","Non atteint")</f>
        <v/>
      </c>
    </row>
    <row r="12" ht="20" customHeight="1">
      <c r="A12" s="12" t="inlineStr">
        <is>
          <t>TOTAUX / MOYENNES</t>
        </is>
      </c>
      <c r="B12" s="12" t="n"/>
      <c r="C12" s="12" t="n"/>
      <c r="D12" s="12" t="n"/>
      <c r="E12" s="12" t="n"/>
      <c r="F12" s="13">
        <f>SUM(F2:F11)</f>
        <v/>
      </c>
      <c r="G12" s="14">
        <f>AVERAGE(G2:G11)</f>
        <v/>
      </c>
      <c r="H12" s="15">
        <f>AVERAGE(H2:H11)</f>
        <v/>
      </c>
      <c r="I12" s="12" t="n"/>
      <c r="J12" s="14">
        <f>SUM(J2:J11)</f>
        <v/>
      </c>
      <c r="K12" s="14">
        <f>SUM(K2:K11)</f>
        <v/>
      </c>
      <c r="L12" s="14">
        <f>SUM(L2:L11)</f>
        <v/>
      </c>
      <c r="M12" s="12" t="n"/>
      <c r="N12" s="14">
        <f>SUM(N2:N11)</f>
        <v/>
      </c>
      <c r="O12" s="12" t="n"/>
    </row>
    <row r="14">
      <c r="A14" s="16" t="inlineStr">
        <is>
          <t>Statistiques par commercial</t>
        </is>
      </c>
    </row>
    <row r="15">
      <c r="A15" s="17" t="inlineStr">
        <is>
          <t>Commercial</t>
        </is>
      </c>
      <c r="B15" s="17" t="inlineStr">
        <is>
          <t>Nb ventes</t>
        </is>
      </c>
      <c r="C15" s="17" t="inlineStr">
        <is>
          <t>CA HT total</t>
        </is>
      </c>
      <c r="D15" s="17" t="inlineStr">
        <is>
          <t>Objectif total</t>
        </is>
      </c>
      <c r="E15" s="17" t="inlineStr">
        <is>
          <t>Écart total</t>
        </is>
      </c>
    </row>
    <row r="16">
      <c r="A16" s="3" t="inlineStr">
        <is>
          <t>Marie Dubois</t>
        </is>
      </c>
      <c r="B16" s="8">
        <f>COUNTIF($B$2:$B$11,A16)</f>
        <v/>
      </c>
      <c r="C16" s="18">
        <f>SUMIF($B$2:$B$11,A16,$J$2:$J$11)</f>
        <v/>
      </c>
      <c r="D16" s="18">
        <f>SUMIF($B$2:$B$11,A16,$M$2:$M$11)</f>
        <v/>
      </c>
      <c r="E16" s="18">
        <f>C16-D16</f>
        <v/>
      </c>
    </row>
    <row r="17">
      <c r="A17" s="9" t="inlineStr">
        <is>
          <t>Julien Martin</t>
        </is>
      </c>
      <c r="B17" s="11">
        <f>COUNTIF($B$2:$B$11,A17)</f>
        <v/>
      </c>
      <c r="C17" s="19">
        <f>SUMIF($B$2:$B$11,A17,$J$2:$J$11)</f>
        <v/>
      </c>
      <c r="D17" s="19">
        <f>SUMIF($B$2:$B$11,A17,$M$2:$M$11)</f>
        <v/>
      </c>
      <c r="E17" s="19">
        <f>C17-D17</f>
        <v/>
      </c>
    </row>
    <row r="18">
      <c r="A18" s="3" t="inlineStr">
        <is>
          <t>Sophie Bernard</t>
        </is>
      </c>
      <c r="B18" s="8">
        <f>COUNTIF($B$2:$B$11,A18)</f>
        <v/>
      </c>
      <c r="C18" s="18">
        <f>SUMIF($B$2:$B$11,A18,$J$2:$J$11)</f>
        <v/>
      </c>
      <c r="D18" s="18">
        <f>SUMIF($B$2:$B$11,A18,$M$2:$M$11)</f>
        <v/>
      </c>
      <c r="E18" s="18">
        <f>C18-D18</f>
        <v/>
      </c>
    </row>
    <row r="19">
      <c r="A19" s="9" t="inlineStr">
        <is>
          <t>Thomas Petit</t>
        </is>
      </c>
      <c r="B19" s="11">
        <f>COUNTIF($B$2:$B$11,A19)</f>
        <v/>
      </c>
      <c r="C19" s="19">
        <f>SUMIF($B$2:$B$11,A19,$J$2:$J$11)</f>
        <v/>
      </c>
      <c r="D19" s="19">
        <f>SUMIF($B$2:$B$11,A19,$M$2:$M$11)</f>
        <v/>
      </c>
      <c r="E19" s="19">
        <f>C19-D19</f>
        <v/>
      </c>
    </row>
    <row r="20">
      <c r="A20" s="3" t="inlineStr">
        <is>
          <t>Camille Robert</t>
        </is>
      </c>
      <c r="B20" s="8">
        <f>COUNTIF($B$2:$B$11,A20)</f>
        <v/>
      </c>
      <c r="C20" s="18">
        <f>SUMIF($B$2:$B$11,A20,$J$2:$J$11)</f>
        <v/>
      </c>
      <c r="D20" s="18">
        <f>SUMIF($B$2:$B$11,A20,$M$2:$M$11)</f>
        <v/>
      </c>
      <c r="E20" s="18">
        <f>C20-D20</f>
        <v/>
      </c>
    </row>
    <row r="21">
      <c r="A21" s="9" t="inlineStr">
        <is>
          <t>Nicolas Leroy</t>
        </is>
      </c>
      <c r="B21" s="11">
        <f>COUNTIF($B$2:$B$11,A21)</f>
        <v/>
      </c>
      <c r="C21" s="19">
        <f>SUMIF($B$2:$B$11,A21,$J$2:$J$11)</f>
        <v/>
      </c>
      <c r="D21" s="19">
        <f>SUMIF($B$2:$B$11,A21,$M$2:$M$11)</f>
        <v/>
      </c>
      <c r="E21" s="19">
        <f>C21-D21</f>
        <v/>
      </c>
    </row>
    <row r="22">
      <c r="A22" s="3" t="inlineStr">
        <is>
          <t>Léa Moreau</t>
        </is>
      </c>
      <c r="B22" s="8">
        <f>COUNTIF($B$2:$B$11,A22)</f>
        <v/>
      </c>
      <c r="C22" s="18">
        <f>SUMIF($B$2:$B$11,A22,$J$2:$J$11)</f>
        <v/>
      </c>
      <c r="D22" s="18">
        <f>SUMIF($B$2:$B$11,A22,$M$2:$M$11)</f>
        <v/>
      </c>
      <c r="E22" s="18">
        <f>C22-D22</f>
        <v/>
      </c>
    </row>
    <row r="23">
      <c r="A23" s="9" t="inlineStr">
        <is>
          <t>Antoine Simon</t>
        </is>
      </c>
      <c r="B23" s="11">
        <f>COUNTIF($B$2:$B$11,A23)</f>
        <v/>
      </c>
      <c r="C23" s="19">
        <f>SUMIF($B$2:$B$11,A23,$J$2:$J$11)</f>
        <v/>
      </c>
      <c r="D23" s="19">
        <f>SUMIF($B$2:$B$11,A23,$M$2:$M$11)</f>
        <v/>
      </c>
      <c r="E23" s="19">
        <f>C23-D23</f>
        <v/>
      </c>
    </row>
    <row r="24">
      <c r="A24" s="3" t="inlineStr">
        <is>
          <t>Chloé Laurent</t>
        </is>
      </c>
      <c r="B24" s="8">
        <f>COUNTIF($B$2:$B$11,A24)</f>
        <v/>
      </c>
      <c r="C24" s="18">
        <f>SUMIF($B$2:$B$11,A24,$J$2:$J$11)</f>
        <v/>
      </c>
      <c r="D24" s="18">
        <f>SUMIF($B$2:$B$11,A24,$M$2:$M$11)</f>
        <v/>
      </c>
      <c r="E24" s="18">
        <f>C24-D24</f>
        <v/>
      </c>
    </row>
    <row r="25">
      <c r="A25" s="9" t="inlineStr">
        <is>
          <t>Maxime Garcia</t>
        </is>
      </c>
      <c r="B25" s="11">
        <f>COUNTIF($B$2:$B$11,A25)</f>
        <v/>
      </c>
      <c r="C25" s="19">
        <f>SUMIF($B$2:$B$11,A25,$J$2:$J$11)</f>
        <v/>
      </c>
      <c r="D25" s="19">
        <f>SUMIF($B$2:$B$11,A25,$M$2:$M$11)</f>
        <v/>
      </c>
      <c r="E25" s="19">
        <f>C25-D25</f>
        <v/>
      </c>
    </row>
  </sheetData>
  <conditionalFormatting sqref="N2:N11">
    <cfRule type="expression" priority="1" dxfId="0" stopIfTrue="0">
      <formula>N2&gt;0</formula>
    </cfRule>
    <cfRule type="expression" priority="2" dxfId="1" stopIfTrue="0">
      <formula>N2&lt;0</formula>
    </cfRule>
  </conditionalFormatting>
  <conditionalFormatting sqref="O2:O11">
    <cfRule type="expression" priority="3" dxfId="0" stopIfTrue="0">
      <formula>O2="Atteint"</formula>
    </cfRule>
    <cfRule type="expression" priority="4" dxfId="1" stopIfTrue="0">
      <formula>O2="Non atteint"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4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 ht="28" customHeight="1">
      <c r="A1" s="20" t="inlineStr">
        <is>
          <t>Synthèse — Tableau à double entrée : CA HT par Commercial × Famille de produits</t>
        </is>
      </c>
    </row>
    <row r="3">
      <c r="A3" s="16" t="inlineStr">
        <is>
          <t>Indicateurs clés</t>
        </is>
      </c>
    </row>
    <row r="4">
      <c r="A4" s="21" t="inlineStr">
        <is>
          <t>CA HT total</t>
        </is>
      </c>
      <c r="B4" s="22">
        <f>SUM('Données_Entrées'!J2:J11)</f>
        <v/>
      </c>
    </row>
    <row r="5">
      <c r="A5" s="21" t="inlineStr">
        <is>
          <t>CA TTC total</t>
        </is>
      </c>
      <c r="B5" s="22">
        <f>SUM('Données_Entrées'!L2:L11)</f>
        <v/>
      </c>
    </row>
    <row r="6">
      <c r="A6" s="21" t="inlineStr">
        <is>
          <t>CA moyen par vente</t>
        </is>
      </c>
      <c r="B6" s="22">
        <f>IFERROR(SUM('Données_Entrées'!J2:J11)/COUNT('Données_Entrées'!J2:J11),0)</f>
        <v/>
      </c>
    </row>
    <row r="7">
      <c r="A7" s="21" t="inlineStr">
        <is>
          <t>Taux atteinte objectif</t>
        </is>
      </c>
      <c r="B7" s="23">
        <f>IFERROR(COUNTIF('Données_Entrées'!O2:O11,"Atteint")/COUNTA('Données_Entrées'!O2:O11),0)</f>
        <v/>
      </c>
    </row>
    <row r="8">
      <c r="A8" s="21" t="inlineStr">
        <is>
          <t>Nb ventes "Atteint"</t>
        </is>
      </c>
      <c r="B8" s="24">
        <f>COUNTIF('Données_Entrées'!O2:O11,"Atteint")</f>
        <v/>
      </c>
    </row>
    <row r="9">
      <c r="A9" s="21" t="inlineStr">
        <is>
          <t>Nb ventes "Non atteint"</t>
        </is>
      </c>
      <c r="B9" s="24">
        <f>COUNTIF('Données_Entrées'!O2:O11,"Non atteint")</f>
        <v/>
      </c>
    </row>
    <row r="11">
      <c r="A11" s="25" t="inlineStr">
        <is>
          <t>Matrice croisée — CA HT par Commercial × Famille de produits</t>
        </is>
      </c>
    </row>
    <row r="12">
      <c r="A12" s="26" t="inlineStr">
        <is>
          <t>Commercial</t>
        </is>
      </c>
      <c r="B12" s="26" t="inlineStr">
        <is>
          <t>Logiciels</t>
        </is>
      </c>
      <c r="C12" s="26" t="inlineStr">
        <is>
          <t>Services</t>
        </is>
      </c>
      <c r="D12" s="26" t="inlineStr">
        <is>
          <t>Matériel</t>
        </is>
      </c>
      <c r="E12" s="26" t="inlineStr">
        <is>
          <t>Maintenance</t>
        </is>
      </c>
      <c r="F12" s="26" t="inlineStr">
        <is>
          <t>Total général</t>
        </is>
      </c>
    </row>
    <row r="13">
      <c r="A13" s="21" t="inlineStr">
        <is>
          <t>Marie Dubois</t>
        </is>
      </c>
      <c r="B13" s="18">
        <f>IFERROR(SUMIFS('Données_Entrées'!$J$2:$J$11,'Données_Entrées'!$B$2:$B$11,"Marie Dubois",'Données_Entrées'!$D$2:$D$11,"Logiciels"),0)</f>
        <v/>
      </c>
      <c r="C13" s="18">
        <f>IFERROR(SUMIFS('Données_Entrées'!$J$2:$J$11,'Données_Entrées'!$B$2:$B$11,"Marie Dubois",'Données_Entrées'!$D$2:$D$11,"Services"),0)</f>
        <v/>
      </c>
      <c r="D13" s="18">
        <f>IFERROR(SUMIFS('Données_Entrées'!$J$2:$J$11,'Données_Entrées'!$B$2:$B$11,"Marie Dubois",'Données_Entrées'!$D$2:$D$11,"Matériel"),0)</f>
        <v/>
      </c>
      <c r="E13" s="18">
        <f>IFERROR(SUMIFS('Données_Entrées'!$J$2:$J$11,'Données_Entrées'!$B$2:$B$11,"Marie Dubois",'Données_Entrées'!$D$2:$D$11,"Maintenance"),0)</f>
        <v/>
      </c>
      <c r="F13" s="27">
        <f>SUM(B13:E13)</f>
        <v/>
      </c>
    </row>
    <row r="14">
      <c r="A14" s="21" t="inlineStr">
        <is>
          <t>Julien Martin</t>
        </is>
      </c>
      <c r="B14" s="19">
        <f>IFERROR(SUMIFS('Données_Entrées'!$J$2:$J$11,'Données_Entrées'!$B$2:$B$11,"Julien Martin",'Données_Entrées'!$D$2:$D$11,"Logiciels"),0)</f>
        <v/>
      </c>
      <c r="C14" s="19">
        <f>IFERROR(SUMIFS('Données_Entrées'!$J$2:$J$11,'Données_Entrées'!$B$2:$B$11,"Julien Martin",'Données_Entrées'!$D$2:$D$11,"Services"),0)</f>
        <v/>
      </c>
      <c r="D14" s="19">
        <f>IFERROR(SUMIFS('Données_Entrées'!$J$2:$J$11,'Données_Entrées'!$B$2:$B$11,"Julien Martin",'Données_Entrées'!$D$2:$D$11,"Matériel"),0)</f>
        <v/>
      </c>
      <c r="E14" s="19">
        <f>IFERROR(SUMIFS('Données_Entrées'!$J$2:$J$11,'Données_Entrées'!$B$2:$B$11,"Julien Martin",'Données_Entrées'!$D$2:$D$11,"Maintenance"),0)</f>
        <v/>
      </c>
      <c r="F14" s="27">
        <f>SUM(B14:E14)</f>
        <v/>
      </c>
    </row>
    <row r="15">
      <c r="A15" s="21" t="inlineStr">
        <is>
          <t>Sophie Bernard</t>
        </is>
      </c>
      <c r="B15" s="18">
        <f>IFERROR(SUMIFS('Données_Entrées'!$J$2:$J$11,'Données_Entrées'!$B$2:$B$11,"Sophie Bernard",'Données_Entrées'!$D$2:$D$11,"Logiciels"),0)</f>
        <v/>
      </c>
      <c r="C15" s="18">
        <f>IFERROR(SUMIFS('Données_Entrées'!$J$2:$J$11,'Données_Entrées'!$B$2:$B$11,"Sophie Bernard",'Données_Entrées'!$D$2:$D$11,"Services"),0)</f>
        <v/>
      </c>
      <c r="D15" s="18">
        <f>IFERROR(SUMIFS('Données_Entrées'!$J$2:$J$11,'Données_Entrées'!$B$2:$B$11,"Sophie Bernard",'Données_Entrées'!$D$2:$D$11,"Matériel"),0)</f>
        <v/>
      </c>
      <c r="E15" s="18">
        <f>IFERROR(SUMIFS('Données_Entrées'!$J$2:$J$11,'Données_Entrées'!$B$2:$B$11,"Sophie Bernard",'Données_Entrées'!$D$2:$D$11,"Maintenance"),0)</f>
        <v/>
      </c>
      <c r="F15" s="27">
        <f>SUM(B15:E15)</f>
        <v/>
      </c>
    </row>
    <row r="16">
      <c r="A16" s="21" t="inlineStr">
        <is>
          <t>Thomas Petit</t>
        </is>
      </c>
      <c r="B16" s="19">
        <f>IFERROR(SUMIFS('Données_Entrées'!$J$2:$J$11,'Données_Entrées'!$B$2:$B$11,"Thomas Petit",'Données_Entrées'!$D$2:$D$11,"Logiciels"),0)</f>
        <v/>
      </c>
      <c r="C16" s="19">
        <f>IFERROR(SUMIFS('Données_Entrées'!$J$2:$J$11,'Données_Entrées'!$B$2:$B$11,"Thomas Petit",'Données_Entrées'!$D$2:$D$11,"Services"),0)</f>
        <v/>
      </c>
      <c r="D16" s="19">
        <f>IFERROR(SUMIFS('Données_Entrées'!$J$2:$J$11,'Données_Entrées'!$B$2:$B$11,"Thomas Petit",'Données_Entrées'!$D$2:$D$11,"Matériel"),0)</f>
        <v/>
      </c>
      <c r="E16" s="19">
        <f>IFERROR(SUMIFS('Données_Entrées'!$J$2:$J$11,'Données_Entrées'!$B$2:$B$11,"Thomas Petit",'Données_Entrées'!$D$2:$D$11,"Maintenance"),0)</f>
        <v/>
      </c>
      <c r="F16" s="27">
        <f>SUM(B16:E16)</f>
        <v/>
      </c>
    </row>
    <row r="17">
      <c r="A17" s="21" t="inlineStr">
        <is>
          <t>Camille Robert</t>
        </is>
      </c>
      <c r="B17" s="18">
        <f>IFERROR(SUMIFS('Données_Entrées'!$J$2:$J$11,'Données_Entrées'!$B$2:$B$11,"Camille Robert",'Données_Entrées'!$D$2:$D$11,"Logiciels"),0)</f>
        <v/>
      </c>
      <c r="C17" s="18">
        <f>IFERROR(SUMIFS('Données_Entrées'!$J$2:$J$11,'Données_Entrées'!$B$2:$B$11,"Camille Robert",'Données_Entrées'!$D$2:$D$11,"Services"),0)</f>
        <v/>
      </c>
      <c r="D17" s="18">
        <f>IFERROR(SUMIFS('Données_Entrées'!$J$2:$J$11,'Données_Entrées'!$B$2:$B$11,"Camille Robert",'Données_Entrées'!$D$2:$D$11,"Matériel"),0)</f>
        <v/>
      </c>
      <c r="E17" s="18">
        <f>IFERROR(SUMIFS('Données_Entrées'!$J$2:$J$11,'Données_Entrées'!$B$2:$B$11,"Camille Robert",'Données_Entrées'!$D$2:$D$11,"Maintenance"),0)</f>
        <v/>
      </c>
      <c r="F17" s="27">
        <f>SUM(B17:E17)</f>
        <v/>
      </c>
    </row>
    <row r="18">
      <c r="A18" s="21" t="inlineStr">
        <is>
          <t>Nicolas Leroy</t>
        </is>
      </c>
      <c r="B18" s="19">
        <f>IFERROR(SUMIFS('Données_Entrées'!$J$2:$J$11,'Données_Entrées'!$B$2:$B$11,"Nicolas Leroy",'Données_Entrées'!$D$2:$D$11,"Logiciels"),0)</f>
        <v/>
      </c>
      <c r="C18" s="19">
        <f>IFERROR(SUMIFS('Données_Entrées'!$J$2:$J$11,'Données_Entrées'!$B$2:$B$11,"Nicolas Leroy",'Données_Entrées'!$D$2:$D$11,"Services"),0)</f>
        <v/>
      </c>
      <c r="D18" s="19">
        <f>IFERROR(SUMIFS('Données_Entrées'!$J$2:$J$11,'Données_Entrées'!$B$2:$B$11,"Nicolas Leroy",'Données_Entrées'!$D$2:$D$11,"Matériel"),0)</f>
        <v/>
      </c>
      <c r="E18" s="19">
        <f>IFERROR(SUMIFS('Données_Entrées'!$J$2:$J$11,'Données_Entrées'!$B$2:$B$11,"Nicolas Leroy",'Données_Entrées'!$D$2:$D$11,"Maintenance"),0)</f>
        <v/>
      </c>
      <c r="F18" s="27">
        <f>SUM(B18:E18)</f>
        <v/>
      </c>
    </row>
    <row r="19">
      <c r="A19" s="21" t="inlineStr">
        <is>
          <t>Léa Moreau</t>
        </is>
      </c>
      <c r="B19" s="18">
        <f>IFERROR(SUMIFS('Données_Entrées'!$J$2:$J$11,'Données_Entrées'!$B$2:$B$11,"Léa Moreau",'Données_Entrées'!$D$2:$D$11,"Logiciels"),0)</f>
        <v/>
      </c>
      <c r="C19" s="18">
        <f>IFERROR(SUMIFS('Données_Entrées'!$J$2:$J$11,'Données_Entrées'!$B$2:$B$11,"Léa Moreau",'Données_Entrées'!$D$2:$D$11,"Services"),0)</f>
        <v/>
      </c>
      <c r="D19" s="18">
        <f>IFERROR(SUMIFS('Données_Entrées'!$J$2:$J$11,'Données_Entrées'!$B$2:$B$11,"Léa Moreau",'Données_Entrées'!$D$2:$D$11,"Matériel"),0)</f>
        <v/>
      </c>
      <c r="E19" s="18">
        <f>IFERROR(SUMIFS('Données_Entrées'!$J$2:$J$11,'Données_Entrées'!$B$2:$B$11,"Léa Moreau",'Données_Entrées'!$D$2:$D$11,"Maintenance"),0)</f>
        <v/>
      </c>
      <c r="F19" s="27">
        <f>SUM(B19:E19)</f>
        <v/>
      </c>
    </row>
    <row r="20">
      <c r="A20" s="21" t="inlineStr">
        <is>
          <t>Antoine Simon</t>
        </is>
      </c>
      <c r="B20" s="19">
        <f>IFERROR(SUMIFS('Données_Entrées'!$J$2:$J$11,'Données_Entrées'!$B$2:$B$11,"Antoine Simon",'Données_Entrées'!$D$2:$D$11,"Logiciels"),0)</f>
        <v/>
      </c>
      <c r="C20" s="19">
        <f>IFERROR(SUMIFS('Données_Entrées'!$J$2:$J$11,'Données_Entrées'!$B$2:$B$11,"Antoine Simon",'Données_Entrées'!$D$2:$D$11,"Services"),0)</f>
        <v/>
      </c>
      <c r="D20" s="19">
        <f>IFERROR(SUMIFS('Données_Entrées'!$J$2:$J$11,'Données_Entrées'!$B$2:$B$11,"Antoine Simon",'Données_Entrées'!$D$2:$D$11,"Matériel"),0)</f>
        <v/>
      </c>
      <c r="E20" s="19">
        <f>IFERROR(SUMIFS('Données_Entrées'!$J$2:$J$11,'Données_Entrées'!$B$2:$B$11,"Antoine Simon",'Données_Entrées'!$D$2:$D$11,"Maintenance"),0)</f>
        <v/>
      </c>
      <c r="F20" s="27">
        <f>SUM(B20:E20)</f>
        <v/>
      </c>
    </row>
    <row r="21">
      <c r="A21" s="21" t="inlineStr">
        <is>
          <t>Chloé Laurent</t>
        </is>
      </c>
      <c r="B21" s="18">
        <f>IFERROR(SUMIFS('Données_Entrées'!$J$2:$J$11,'Données_Entrées'!$B$2:$B$11,"Chloé Laurent",'Données_Entrées'!$D$2:$D$11,"Logiciels"),0)</f>
        <v/>
      </c>
      <c r="C21" s="18">
        <f>IFERROR(SUMIFS('Données_Entrées'!$J$2:$J$11,'Données_Entrées'!$B$2:$B$11,"Chloé Laurent",'Données_Entrées'!$D$2:$D$11,"Services"),0)</f>
        <v/>
      </c>
      <c r="D21" s="18">
        <f>IFERROR(SUMIFS('Données_Entrées'!$J$2:$J$11,'Données_Entrées'!$B$2:$B$11,"Chloé Laurent",'Données_Entrées'!$D$2:$D$11,"Matériel"),0)</f>
        <v/>
      </c>
      <c r="E21" s="18">
        <f>IFERROR(SUMIFS('Données_Entrées'!$J$2:$J$11,'Données_Entrées'!$B$2:$B$11,"Chloé Laurent",'Données_Entrées'!$D$2:$D$11,"Maintenance"),0)</f>
        <v/>
      </c>
      <c r="F21" s="27">
        <f>SUM(B21:E21)</f>
        <v/>
      </c>
    </row>
    <row r="22">
      <c r="A22" s="21" t="inlineStr">
        <is>
          <t>Maxime Garcia</t>
        </is>
      </c>
      <c r="B22" s="19">
        <f>IFERROR(SUMIFS('Données_Entrées'!$J$2:$J$11,'Données_Entrées'!$B$2:$B$11,"Maxime Garcia",'Données_Entrées'!$D$2:$D$11,"Logiciels"),0)</f>
        <v/>
      </c>
      <c r="C22" s="19">
        <f>IFERROR(SUMIFS('Données_Entrées'!$J$2:$J$11,'Données_Entrées'!$B$2:$B$11,"Maxime Garcia",'Données_Entrées'!$D$2:$D$11,"Services"),0)</f>
        <v/>
      </c>
      <c r="D22" s="19">
        <f>IFERROR(SUMIFS('Données_Entrées'!$J$2:$J$11,'Données_Entrées'!$B$2:$B$11,"Maxime Garcia",'Données_Entrées'!$D$2:$D$11,"Matériel"),0)</f>
        <v/>
      </c>
      <c r="E22" s="19">
        <f>IFERROR(SUMIFS('Données_Entrées'!$J$2:$J$11,'Données_Entrées'!$B$2:$B$11,"Maxime Garcia",'Données_Entrées'!$D$2:$D$11,"Maintenance"),0)</f>
        <v/>
      </c>
      <c r="F22" s="27">
        <f>SUM(B22:E22)</f>
        <v/>
      </c>
    </row>
    <row r="23">
      <c r="A23" s="28" t="inlineStr">
        <is>
          <t>Total général</t>
        </is>
      </c>
      <c r="B23" s="29">
        <f>SUM(B13:B22)</f>
        <v/>
      </c>
      <c r="C23" s="29">
        <f>SUM(C13:C22)</f>
        <v/>
      </c>
      <c r="D23" s="29">
        <f>SUM(D13:D22)</f>
        <v/>
      </c>
      <c r="E23" s="29">
        <f>SUM(E13:E22)</f>
        <v/>
      </c>
      <c r="F23" s="29">
        <f>SUM(F13:F22)</f>
        <v/>
      </c>
    </row>
    <row r="24">
      <c r="A24" s="21" t="inlineStr">
        <is>
          <t>Contribution %</t>
        </is>
      </c>
      <c r="B24" s="30">
        <f>IFERROR(B23/F23,0)</f>
        <v/>
      </c>
      <c r="C24" s="30">
        <f>IFERROR(C23/F23,0)</f>
        <v/>
      </c>
      <c r="D24" s="30">
        <f>IFERROR(D23/F23,0)</f>
        <v/>
      </c>
      <c r="E24" s="30">
        <f>IFERROR(E23/F23,0)</f>
        <v/>
      </c>
      <c r="F24" s="30">
        <f>IFERROR(F23/F23,0)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D46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55" customWidth="1" min="3" max="3"/>
    <col width="5" customWidth="1" min="4" max="4"/>
  </cols>
  <sheetData>
    <row r="1" ht="32" customHeight="1">
      <c r="B1" s="31" t="inlineStr">
        <is>
          <t>Mode d'emploi — Tableau à double entrée</t>
        </is>
      </c>
    </row>
    <row r="3" ht="18" customHeight="1">
      <c r="B3" s="32" t="inlineStr">
        <is>
          <t>Comment renseigner le classeur</t>
        </is>
      </c>
    </row>
    <row r="4" ht="20" customHeight="1">
      <c r="B4" s="21" t="inlineStr">
        <is>
          <t>Cellules jaunes (#FFFBEB)</t>
        </is>
      </c>
      <c r="C4" s="33" t="inlineStr">
        <is>
          <t>Saisissez vos données dans les cellules surlignées en jaune : Date, Quantité, Prix unitaire HT, Remise %, TVA %, Objectif mensuel.</t>
        </is>
      </c>
    </row>
    <row r="5" ht="20" customHeight="1">
      <c r="B5" s="21" t="inlineStr">
        <is>
          <t>Cellules blanches / colorées</t>
        </is>
      </c>
      <c r="C5" s="33" t="inlineStr">
        <is>
          <t>Ces cellules contiennent des formules automatiques. Ne pas modifier manuellement.</t>
        </is>
      </c>
    </row>
    <row r="6" ht="18" customHeight="1"/>
    <row r="7" ht="18" customHeight="1">
      <c r="B7" s="32" t="inlineStr">
        <is>
          <t>Colonnes de la feuille Données_Entrées</t>
        </is>
      </c>
    </row>
    <row r="8" ht="20" customHeight="1">
      <c r="B8" s="21" t="inlineStr">
        <is>
          <t>A — Date</t>
        </is>
      </c>
      <c r="C8" s="33" t="inlineStr">
        <is>
          <t>Date de la vente au format JJ/MM/AAAA (ex. : 15/01/2026).</t>
        </is>
      </c>
    </row>
    <row r="9" ht="20" customHeight="1">
      <c r="B9" s="21" t="inlineStr">
        <is>
          <t>B — Commercial</t>
        </is>
      </c>
      <c r="C9" s="33" t="inlineStr">
        <is>
          <t>Nom et prénom du commercial responsable de la vente.</t>
        </is>
      </c>
    </row>
    <row r="10" ht="20" customHeight="1">
      <c r="B10" s="21" t="inlineStr">
        <is>
          <t>C — Ville</t>
        </is>
      </c>
      <c r="C10" s="33" t="inlineStr">
        <is>
          <t>Ville de rattachement du commercial.</t>
        </is>
      </c>
    </row>
    <row r="11" ht="20" customHeight="1">
      <c r="B11" s="21" t="inlineStr">
        <is>
          <t>D — Famille de produits</t>
        </is>
      </c>
      <c r="C11" s="33" t="inlineStr">
        <is>
          <t>Catégorie : Logiciels, Services, Matériel, Maintenance.</t>
        </is>
      </c>
    </row>
    <row r="12" ht="20" customHeight="1">
      <c r="B12" s="21" t="inlineStr">
        <is>
          <t>E — Canal</t>
        </is>
      </c>
      <c r="C12" s="33" t="inlineStr">
        <is>
          <t>Moyen de vente : Téléphone, E-mail, Site web, Salon.</t>
        </is>
      </c>
    </row>
    <row r="13" ht="20" customHeight="1">
      <c r="B13" s="21" t="inlineStr">
        <is>
          <t>F — Quantité</t>
        </is>
      </c>
      <c r="C13" s="33" t="inlineStr">
        <is>
          <t>Nombre d'unités vendues (entier positif).</t>
        </is>
      </c>
    </row>
    <row r="14" ht="20" customHeight="1">
      <c r="B14" s="21" t="inlineStr">
        <is>
          <t>G — Prix unitaire HT</t>
        </is>
      </c>
      <c r="C14" s="33" t="inlineStr">
        <is>
          <t>Prix de vente hors taxe par unité, en euros (€).</t>
        </is>
      </c>
    </row>
    <row r="15" ht="20" customHeight="1">
      <c r="B15" s="21" t="inlineStr">
        <is>
          <t>H — Remise %</t>
        </is>
      </c>
      <c r="C15" s="33" t="inlineStr">
        <is>
          <t>Taux de remise accordé (ex. : 0,05 pour 5 %). Saisir 0 si aucune remise.</t>
        </is>
      </c>
    </row>
    <row r="16" ht="20" customHeight="1">
      <c r="B16" s="21" t="inlineStr">
        <is>
          <t>I — TVA %</t>
        </is>
      </c>
      <c r="C16" s="33" t="inlineStr">
        <is>
          <t>Taux de TVA applicable : 0,20 (20 % standard), 0,10 (10 %) ou 0,055 (5,5 %).</t>
        </is>
      </c>
    </row>
    <row r="17" ht="20" customHeight="1">
      <c r="B17" s="21" t="inlineStr">
        <is>
          <t>J — CA HT</t>
        </is>
      </c>
      <c r="C17" s="33" t="inlineStr">
        <is>
          <t>Chiffre d'affaires hors taxes calculé automatiquement : Qté × Prix × (1 − Remise).</t>
        </is>
      </c>
    </row>
    <row r="18" ht="20" customHeight="1">
      <c r="B18" s="21" t="inlineStr">
        <is>
          <t>K — TVA</t>
        </is>
      </c>
      <c r="C18" s="33" t="inlineStr">
        <is>
          <t>Montant de TVA calculé automatiquement : CA HT × Taux TVA.</t>
        </is>
      </c>
    </row>
    <row r="19" ht="20" customHeight="1">
      <c r="B19" s="21" t="inlineStr">
        <is>
          <t>L — CA TTC</t>
        </is>
      </c>
      <c r="C19" s="33" t="inlineStr">
        <is>
          <t>Chiffre d'affaires toutes taxes comprises : CA HT + TVA.</t>
        </is>
      </c>
    </row>
    <row r="20" ht="20" customHeight="1">
      <c r="B20" s="21" t="inlineStr">
        <is>
          <t>M — Objectif mensuel</t>
        </is>
      </c>
      <c r="C20" s="33" t="inlineStr">
        <is>
          <t>Objectif de CA HT fixé pour la vente ou la période. Cellule saisissable.</t>
        </is>
      </c>
    </row>
    <row r="21" ht="20" customHeight="1">
      <c r="B21" s="21" t="inlineStr">
        <is>
          <t>N — Écart vs objectif</t>
        </is>
      </c>
      <c r="C21" s="33" t="inlineStr">
        <is>
          <t>Différence calculée : CA HT − Objectif. Positif = dépassement ; négatif = manque.</t>
        </is>
      </c>
    </row>
    <row r="22" ht="20" customHeight="1">
      <c r="B22" s="21" t="inlineStr">
        <is>
          <t>O — Atteinte objectif</t>
        </is>
      </c>
      <c r="C22" s="33" t="inlineStr">
        <is>
          <t>Statut calculé automatiquement : « Atteint » si CA HT ≥ Objectif, sinon « Non atteint ».</t>
        </is>
      </c>
    </row>
    <row r="23" ht="18" customHeight="1"/>
    <row r="24" ht="18" customHeight="1">
      <c r="B24" s="32" t="inlineStr">
        <is>
          <t>Règles de TVA applicables en France</t>
        </is>
      </c>
    </row>
    <row r="25" ht="20" customHeight="1">
      <c r="B25" s="21" t="inlineStr">
        <is>
          <t>Taux standard : 20 %</t>
        </is>
      </c>
      <c r="C25" s="33" t="inlineStr">
        <is>
          <t>Applicable à la majorité des produits et services (logiciels, matériel, services).</t>
        </is>
      </c>
    </row>
    <row r="26" ht="20" customHeight="1">
      <c r="B26" s="21" t="inlineStr">
        <is>
          <t>Taux intermédiaire : 10 %</t>
        </is>
      </c>
      <c r="C26" s="33" t="inlineStr">
        <is>
          <t>Applicable à certains services (restauration, travaux, etc.).</t>
        </is>
      </c>
    </row>
    <row r="27" ht="20" customHeight="1">
      <c r="B27" s="21" t="inlineStr">
        <is>
          <t>Taux réduit : 5,5 %</t>
        </is>
      </c>
      <c r="C27" s="33" t="inlineStr">
        <is>
          <t>Applicable aux produits de première nécessité, livres, etc.</t>
        </is>
      </c>
    </row>
    <row r="28" ht="18" customHeight="1"/>
    <row r="29" ht="18" customHeight="1">
      <c r="B29" s="32" t="inlineStr">
        <is>
          <t>Feuille Synthèse — Tableau à double entrée</t>
        </is>
      </c>
    </row>
    <row r="30" ht="20" customHeight="1">
      <c r="B30" s="21" t="inlineStr">
        <is>
          <t>Lecture par ligne</t>
        </is>
      </c>
      <c r="C30" s="33" t="inlineStr">
        <is>
          <t>Chaque ligne correspond à un commercial et présente sa contribution CA HT par famille de produits.</t>
        </is>
      </c>
    </row>
    <row r="31" ht="20" customHeight="1">
      <c r="B31" s="21" t="inlineStr">
        <is>
          <t>Lecture par colonne</t>
        </is>
      </c>
      <c r="C31" s="33" t="inlineStr">
        <is>
          <t>Chaque colonne correspond à une famille et présente le CA HT généré par tous les commerciaux.</t>
        </is>
      </c>
    </row>
    <row r="32" ht="20" customHeight="1">
      <c r="B32" s="21" t="inlineStr">
        <is>
          <t>Total général</t>
        </is>
      </c>
      <c r="C32" s="33" t="inlineStr">
        <is>
          <t>Intersection totale permettant de valider la cohérence des sommes (contrôle croisé).</t>
        </is>
      </c>
    </row>
    <row r="33" ht="20" customHeight="1">
      <c r="B33" s="21" t="inlineStr">
        <is>
          <t>Contribution %</t>
        </is>
      </c>
      <c r="C33" s="33" t="inlineStr">
        <is>
          <t>Part de chaque famille dans le CA HT total — permet d'identifier les axes prioritaires.</t>
        </is>
      </c>
    </row>
    <row r="34" ht="18" customHeight="1"/>
    <row r="35" ht="18" customHeight="1">
      <c r="B35" s="32" t="inlineStr">
        <is>
          <t>Légende des couleurs</t>
        </is>
      </c>
    </row>
    <row r="36" ht="20" customHeight="1">
      <c r="B36" s="21" t="inlineStr">
        <is>
          <t>Jaune clair (#FFFBEB)</t>
        </is>
      </c>
      <c r="C36" s="33" t="inlineStr">
        <is>
          <t>Cellules saisissables — données à renseigner par l'utilisateur.</t>
        </is>
      </c>
      <c r="D36" s="34" t="n"/>
    </row>
    <row r="37" ht="20" customHeight="1">
      <c r="B37" s="21" t="inlineStr">
        <is>
          <t>Vert (#DCFCE7)</t>
        </is>
      </c>
      <c r="C37" s="33" t="inlineStr">
        <is>
          <t>Écart positif ou objectif atteint — performance favorable.</t>
        </is>
      </c>
      <c r="D37" s="35" t="n"/>
    </row>
    <row r="38" ht="20" customHeight="1">
      <c r="B38" s="21" t="inlineStr">
        <is>
          <t>Rouge (#FEE2E2)</t>
        </is>
      </c>
      <c r="C38" s="33" t="inlineStr">
        <is>
          <t>Écart négatif ou objectif non atteint — performance à améliorer.</t>
        </is>
      </c>
      <c r="D38" s="36" t="n"/>
    </row>
    <row r="39" ht="20" customHeight="1">
      <c r="B39" s="21" t="inlineStr">
        <is>
          <t>Bleu ardoise (#1E293B)</t>
        </is>
      </c>
      <c r="C39" s="33" t="inlineStr">
        <is>
          <t>En-têtes de colonnes — non modifiables.</t>
        </is>
      </c>
      <c r="D39" s="37" t="n"/>
    </row>
    <row r="40" ht="20" customHeight="1">
      <c r="B40" s="21" t="inlineStr">
        <is>
          <t>Gris clair (#E2E8F0)</t>
        </is>
      </c>
      <c r="C40" s="33" t="inlineStr">
        <is>
          <t>Cellules de résumé ou de calcul — non modifiables.</t>
        </is>
      </c>
      <c r="D40" s="38" t="n"/>
    </row>
    <row r="41" ht="18" customHeight="1"/>
    <row r="42" ht="18" customHeight="1">
      <c r="B42" s="32" t="inlineStr">
        <is>
          <t>Remarques importantes</t>
        </is>
      </c>
    </row>
    <row r="43" ht="20" customHeight="1">
      <c r="B43" s="21" t="inlineStr">
        <is>
          <t>Format date</t>
        </is>
      </c>
      <c r="C43" s="33" t="inlineStr">
        <is>
          <t>Toujours saisir les dates au format JJ/MM/AAAA. Ex. : 01/01/2026.</t>
        </is>
      </c>
    </row>
    <row r="44" ht="20" customHeight="1">
      <c r="B44" s="21" t="inlineStr">
        <is>
          <t>Montants</t>
        </is>
      </c>
      <c r="C44" s="33" t="inlineStr">
        <is>
          <t>Tous les montants sont en euros (€). Ne pas inclure le symbole lors de la saisie.</t>
        </is>
      </c>
    </row>
    <row r="45" ht="20" customHeight="1">
      <c r="B45" s="21" t="inlineStr">
        <is>
          <t>Formules</t>
        </is>
      </c>
      <c r="C45" s="33" t="inlineStr">
        <is>
          <t>Ne jamais supprimer ou écraser les formules des colonnes J, K, L, N, O.</t>
        </is>
      </c>
    </row>
    <row r="46" ht="20" customHeight="1">
      <c r="B46" s="21" t="inlineStr">
        <is>
          <t>Ajout de lignes</t>
        </is>
      </c>
      <c r="C46" s="33" t="inlineStr">
        <is>
          <t>Pour ajouter des ventes, insérer des lignes avant la ligne Totaux et y recopier les formules.</t>
        </is>
      </c>
    </row>
  </sheetData>
  <mergeCells count="7">
    <mergeCell ref="B1:C1"/>
    <mergeCell ref="B3:C3"/>
    <mergeCell ref="B7:C7"/>
    <mergeCell ref="B24:C24"/>
    <mergeCell ref="B29:C29"/>
    <mergeCell ref="B35:C35"/>
    <mergeCell ref="B42:C4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2026-07-01T07:19:46Z</dcterms:created>
  <dcterms:modified xmlns:dcterms="http://purl.org/dc/terms/" xmlns:xsi="http://www.w3.org/2001/XMLSchema-instance" xsi:type="dcterms:W3CDTF">2026-07-01T07:19:46Z</dcterms:modified>
</cp:coreProperties>
</file>