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ériel" sheetId="1" state="visible" r:id="rId1"/>
    <sheet xmlns:r="http://schemas.openxmlformats.org/officeDocument/2006/relationships" name="Réservation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€"/>
    <numFmt numFmtId="165" formatCode="yyyy-mm-dd h:mm:ss"/>
    <numFmt numFmtId="166" formatCode="DD/MM/YYYY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name val="Calibri"/>
      <b val="1"/>
      <color rgb="000F766E"/>
      <sz val="14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164" fontId="3" fillId="3" borderId="1" pivotButton="0" quotePrefix="0" xfId="0"/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pivotButton="0" quotePrefix="0" xfId="0"/>
    <xf numFmtId="0" fontId="4" fillId="0" borderId="1" pivotButton="0" quotePrefix="0" xfId="0"/>
    <xf numFmtId="0" fontId="3" fillId="5" borderId="1" pivotButton="0" quotePrefix="0" xfId="0"/>
    <xf numFmtId="166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4" fontId="4" fillId="0" borderId="1" pivotButton="0" quotePrefix="0" xfId="0"/>
    <xf numFmtId="0" fontId="2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5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1F2937"/>
        <sz val="10"/>
      </font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réservations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bord'!$A$11:$A$16</f>
            </numRef>
          </cat>
          <val>
            <numRef>
              <f>'Tableau de bord'!$B$11:$B$16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total par réservation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bord'!G10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bord'!$F$11:$F$20</f>
            </numRef>
          </cat>
          <val>
            <numRef>
              <f>'Tableau de bord'!$G$11:$G$20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ID Réservation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Coût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46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18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18" customWidth="1" min="3" max="3"/>
    <col width="12" customWidth="1" min="4" max="4"/>
    <col width="12" customWidth="1" min="5" max="5"/>
    <col width="20" customWidth="1" min="6" max="6"/>
    <col width="12" customWidth="1" min="7" max="7"/>
    <col width="14" customWidth="1" min="8" max="8"/>
  </cols>
  <sheetData>
    <row r="1" ht="28" customHeight="1">
      <c r="A1" s="1" t="inlineStr">
        <is>
          <t>CATALOGUE DU MATERIEL AUDIOVISUEL</t>
        </is>
      </c>
    </row>
    <row r="3">
      <c r="A3" s="2" t="inlineStr">
        <is>
          <t>ID</t>
        </is>
      </c>
      <c r="B3" s="2" t="inlineStr">
        <is>
          <t>Nom du matériel</t>
        </is>
      </c>
      <c r="C3" s="2" t="inlineStr">
        <is>
          <t>Catégorie</t>
        </is>
      </c>
      <c r="D3" s="2" t="inlineStr">
        <is>
          <t>Prix/jour</t>
        </is>
      </c>
      <c r="E3" s="2" t="inlineStr">
        <is>
          <t>Stock total</t>
        </is>
      </c>
      <c r="F3" s="2" t="inlineStr">
        <is>
          <t>Réservations en cours</t>
        </is>
      </c>
      <c r="G3" s="2" t="inlineStr">
        <is>
          <t>Disponible</t>
        </is>
      </c>
      <c r="H3" s="2" t="inlineStr">
        <is>
          <t>Statut</t>
        </is>
      </c>
    </row>
    <row r="4">
      <c r="A4" s="3" t="inlineStr">
        <is>
          <t>M001</t>
        </is>
      </c>
      <c r="B4" s="4" t="inlineStr">
        <is>
          <t>Caméra Sony FX3</t>
        </is>
      </c>
      <c r="C4" s="3" t="inlineStr">
        <is>
          <t>Caméra</t>
        </is>
      </c>
      <c r="D4" s="5" t="n">
        <v>120</v>
      </c>
      <c r="E4" s="3" t="n">
        <v>4</v>
      </c>
      <c r="F4" s="3">
        <f>COUNTIF(Réservations!$D$4:$D$13,B4)</f>
        <v/>
      </c>
      <c r="G4" s="3">
        <f>E4-F4</f>
        <v/>
      </c>
      <c r="H4" s="3">
        <f>IF(G4&lt;=0,"Rupture",IF(G4&lt;=1,"Stock faible","Disponible"))</f>
        <v/>
      </c>
    </row>
    <row r="5">
      <c r="A5" s="6" t="inlineStr">
        <is>
          <t>M002</t>
        </is>
      </c>
      <c r="B5" s="7" t="inlineStr">
        <is>
          <t>Vidéoprojecteur Epson EB-2250</t>
        </is>
      </c>
      <c r="C5" s="6" t="inlineStr">
        <is>
          <t>Vidéoprojection</t>
        </is>
      </c>
      <c r="D5" s="8" t="n">
        <v>60</v>
      </c>
      <c r="E5" s="6" t="n">
        <v>3</v>
      </c>
      <c r="F5" s="6">
        <f>COUNTIF(Réservations!$D$4:$D$13,B5)</f>
        <v/>
      </c>
      <c r="G5" s="6">
        <f>E5-F5</f>
        <v/>
      </c>
      <c r="H5" s="6">
        <f>IF(G5&lt;=0,"Rupture",IF(G5&lt;=1,"Stock faible","Disponible"))</f>
        <v/>
      </c>
    </row>
    <row r="6">
      <c r="A6" s="3" t="inlineStr">
        <is>
          <t>M003</t>
        </is>
      </c>
      <c r="B6" s="4" t="inlineStr">
        <is>
          <t>Micro HF Shure SM58</t>
        </is>
      </c>
      <c r="C6" s="3" t="inlineStr">
        <is>
          <t>Audio</t>
        </is>
      </c>
      <c r="D6" s="5" t="n">
        <v>25</v>
      </c>
      <c r="E6" s="3" t="n">
        <v>8</v>
      </c>
      <c r="F6" s="3">
        <f>COUNTIF(Réservations!$D$4:$D$13,B6)</f>
        <v/>
      </c>
      <c r="G6" s="3">
        <f>E6-F6</f>
        <v/>
      </c>
      <c r="H6" s="3">
        <f>IF(G6&lt;=0,"Rupture",IF(G6&lt;=1,"Stock faible","Disponible"))</f>
        <v/>
      </c>
    </row>
    <row r="7">
      <c r="A7" s="6" t="inlineStr">
        <is>
          <t>M004</t>
        </is>
      </c>
      <c r="B7" s="7" t="inlineStr">
        <is>
          <t>Enceinte JBL EON615</t>
        </is>
      </c>
      <c r="C7" s="6" t="inlineStr">
        <is>
          <t>Audio</t>
        </is>
      </c>
      <c r="D7" s="8" t="n">
        <v>40</v>
      </c>
      <c r="E7" s="6" t="n">
        <v>6</v>
      </c>
      <c r="F7" s="6">
        <f>COUNTIF(Réservations!$D$4:$D$13,B7)</f>
        <v/>
      </c>
      <c r="G7" s="6">
        <f>E7-F7</f>
        <v/>
      </c>
      <c r="H7" s="6">
        <f>IF(G7&lt;=0,"Rupture",IF(G7&lt;=1,"Stock faible","Disponible"))</f>
        <v/>
      </c>
    </row>
    <row r="8">
      <c r="A8" s="3" t="inlineStr">
        <is>
          <t>M005</t>
        </is>
      </c>
      <c r="B8" s="4" t="inlineStr">
        <is>
          <t>Trépied Manfrotto MT055</t>
        </is>
      </c>
      <c r="C8" s="3" t="inlineStr">
        <is>
          <t>Accessoires</t>
        </is>
      </c>
      <c r="D8" s="5" t="n">
        <v>15</v>
      </c>
      <c r="E8" s="3" t="n">
        <v>5</v>
      </c>
      <c r="F8" s="3">
        <f>COUNTIF(Réservations!$D$4:$D$13,B8)</f>
        <v/>
      </c>
      <c r="G8" s="3">
        <f>E8-F8</f>
        <v/>
      </c>
      <c r="H8" s="3">
        <f>IF(G8&lt;=0,"Rupture",IF(G8&lt;=1,"Stock faible","Disponible"))</f>
        <v/>
      </c>
    </row>
    <row r="9">
      <c r="A9" s="6" t="inlineStr">
        <is>
          <t>M006</t>
        </is>
      </c>
      <c r="B9" s="7" t="inlineStr">
        <is>
          <t>Écran de projection 200cm</t>
        </is>
      </c>
      <c r="C9" s="6" t="inlineStr">
        <is>
          <t>Vidéoprojection</t>
        </is>
      </c>
      <c r="D9" s="8" t="n">
        <v>30</v>
      </c>
      <c r="E9" s="6" t="n">
        <v>3</v>
      </c>
      <c r="F9" s="6">
        <f>COUNTIF(Réservations!$D$4:$D$13,B9)</f>
        <v/>
      </c>
      <c r="G9" s="6">
        <f>E9-F9</f>
        <v/>
      </c>
      <c r="H9" s="6">
        <f>IF(G9&lt;=0,"Rupture",IF(G9&lt;=1,"Stock faible","Disponible"))</f>
        <v/>
      </c>
    </row>
    <row r="10">
      <c r="A10" s="3" t="inlineStr">
        <is>
          <t>M007</t>
        </is>
      </c>
      <c r="B10" s="4" t="inlineStr">
        <is>
          <t>Table de mixage Yamaha MG12</t>
        </is>
      </c>
      <c r="C10" s="3" t="inlineStr">
        <is>
          <t>Audio</t>
        </is>
      </c>
      <c r="D10" s="5" t="n">
        <v>55</v>
      </c>
      <c r="E10" s="3" t="n">
        <v>2</v>
      </c>
      <c r="F10" s="3">
        <f>COUNTIF(Réservations!$D$4:$D$13,B10)</f>
        <v/>
      </c>
      <c r="G10" s="3">
        <f>E10-F10</f>
        <v/>
      </c>
      <c r="H10" s="3">
        <f>IF(G10&lt;=0,"Rupture",IF(G10&lt;=1,"Stock faible","Disponible"))</f>
        <v/>
      </c>
    </row>
    <row r="11">
      <c r="A11" s="6" t="inlineStr">
        <is>
          <t>M008</t>
        </is>
      </c>
      <c r="B11" s="7" t="inlineStr">
        <is>
          <t>Éclairage LED Kit Godox</t>
        </is>
      </c>
      <c r="C11" s="6" t="inlineStr">
        <is>
          <t>Éclairage</t>
        </is>
      </c>
      <c r="D11" s="8" t="n">
        <v>45</v>
      </c>
      <c r="E11" s="6" t="n">
        <v>4</v>
      </c>
      <c r="F11" s="6">
        <f>COUNTIF(Réservations!$D$4:$D$13,B11)</f>
        <v/>
      </c>
      <c r="G11" s="6">
        <f>E11-F11</f>
        <v/>
      </c>
      <c r="H11" s="6">
        <f>IF(G11&lt;=0,"Rupture",IF(G11&lt;=1,"Stock faible","Disponible"))</f>
        <v/>
      </c>
    </row>
    <row r="12">
      <c r="A12" s="3" t="inlineStr">
        <is>
          <t>M009</t>
        </is>
      </c>
      <c r="B12" s="4" t="inlineStr">
        <is>
          <t>Ordinateur portable Dell XPS</t>
        </is>
      </c>
      <c r="C12" s="3" t="inlineStr">
        <is>
          <t>Informatique</t>
        </is>
      </c>
      <c r="D12" s="5" t="n">
        <v>35</v>
      </c>
      <c r="E12" s="3" t="n">
        <v>5</v>
      </c>
      <c r="F12" s="3">
        <f>COUNTIF(Réservations!$D$4:$D$13,B12)</f>
        <v/>
      </c>
      <c r="G12" s="3">
        <f>E12-F12</f>
        <v/>
      </c>
      <c r="H12" s="3">
        <f>IF(G12&lt;=0,"Rupture",IF(G12&lt;=1,"Stock faible","Disponible"))</f>
        <v/>
      </c>
    </row>
    <row r="13">
      <c r="A13" s="6" t="inlineStr">
        <is>
          <t>M010</t>
        </is>
      </c>
      <c r="B13" s="7" t="inlineStr">
        <is>
          <t>Kit câbles HDMI/XLR</t>
        </is>
      </c>
      <c r="C13" s="6" t="inlineStr">
        <is>
          <t>Accessoires</t>
        </is>
      </c>
      <c r="D13" s="8" t="n">
        <v>10</v>
      </c>
      <c r="E13" s="6" t="n">
        <v>10</v>
      </c>
      <c r="F13" s="6">
        <f>COUNTIF(Réservations!$D$4:$D$13,B13)</f>
        <v/>
      </c>
      <c r="G13" s="6">
        <f>E13-F13</f>
        <v/>
      </c>
      <c r="H13" s="6">
        <f>IF(G13&lt;=0,"Rupture",IF(G13&lt;=1,"Stock faible","Disponible"))</f>
        <v/>
      </c>
    </row>
    <row r="15">
      <c r="B15" s="9" t="inlineStr">
        <is>
          <t>TOTAL STOCK</t>
        </is>
      </c>
      <c r="E15" s="9">
        <f>SUM(E4:E13)</f>
        <v/>
      </c>
    </row>
  </sheetData>
  <mergeCells count="1">
    <mergeCell ref="A1:H1"/>
  </mergeCells>
  <conditionalFormatting sqref="H4:H13">
    <cfRule type="expression" priority="1" dxfId="0" stopIfTrue="1">
      <formula>H4="Rupture"</formula>
    </cfRule>
    <cfRule type="expression" priority="2" dxfId="1" stopIfTrue="1">
      <formula>H4="Disponible"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7" customWidth="1" min="2" max="2"/>
    <col width="15" customWidth="1" min="3" max="3"/>
    <col width="30" customWidth="1" min="4" max="4"/>
    <col width="16" customWidth="1" min="5" max="5"/>
    <col width="12" customWidth="1" min="6" max="6"/>
    <col width="12" customWidth="1" min="7" max="7"/>
    <col width="9" customWidth="1" min="8" max="8"/>
    <col width="11" customWidth="1" min="9" max="9"/>
    <col width="12" customWidth="1" min="10" max="10"/>
    <col width="16" customWidth="1" min="11" max="11"/>
    <col width="15" customWidth="1" min="12" max="12"/>
  </cols>
  <sheetData>
    <row r="1" ht="28" customHeight="1">
      <c r="A1" s="1" t="inlineStr">
        <is>
          <t>TABLEAU DE RESERVATION DU MATERIEL AUDIOVISUEL</t>
        </is>
      </c>
    </row>
    <row r="3">
      <c r="A3" s="2" t="inlineStr">
        <is>
          <t>ID Résa</t>
        </is>
      </c>
      <c r="B3" s="2" t="inlineStr">
        <is>
          <t>Demandeur</t>
        </is>
      </c>
      <c r="C3" s="2" t="inlineStr">
        <is>
          <t>Service</t>
        </is>
      </c>
      <c r="D3" s="2" t="inlineStr">
        <is>
          <t>Matériel réservé</t>
        </is>
      </c>
      <c r="E3" s="2" t="inlineStr">
        <is>
          <t>Catégorie</t>
        </is>
      </c>
      <c r="F3" s="2" t="inlineStr">
        <is>
          <t>Date début</t>
        </is>
      </c>
      <c r="G3" s="2" t="inlineStr">
        <is>
          <t>Date fin</t>
        </is>
      </c>
      <c r="H3" s="2" t="inlineStr">
        <is>
          <t>Nb jours</t>
        </is>
      </c>
      <c r="I3" s="2" t="inlineStr">
        <is>
          <t>Prix/jour</t>
        </is>
      </c>
      <c r="J3" s="2" t="inlineStr">
        <is>
          <t>Coût total</t>
        </is>
      </c>
      <c r="K3" s="2" t="inlineStr">
        <is>
          <t>Statut réservation</t>
        </is>
      </c>
      <c r="L3" s="2" t="inlineStr">
        <is>
          <t>Retour effectué</t>
        </is>
      </c>
    </row>
    <row r="4">
      <c r="A4" s="3" t="inlineStr">
        <is>
          <t>R001</t>
        </is>
      </c>
      <c r="B4" s="4" t="inlineStr">
        <is>
          <t>Marie Dubois</t>
        </is>
      </c>
      <c r="C4" s="3" t="inlineStr">
        <is>
          <t>Communication</t>
        </is>
      </c>
      <c r="D4" s="10" t="inlineStr">
        <is>
          <t>Caméra Sony FX3</t>
        </is>
      </c>
      <c r="E4" s="3">
        <f>IFERROR(VLOOKUP(D4,Matériel!$B$4:$D$13,2,FALSE),"")</f>
        <v/>
      </c>
      <c r="F4" s="11" t="n">
        <v>46091</v>
      </c>
      <c r="G4" s="11" t="n">
        <v>46093</v>
      </c>
      <c r="H4" s="3">
        <f>IF(AND(F4&lt;&gt;"",G4&lt;&gt;""),G4-F4+1,0)</f>
        <v/>
      </c>
      <c r="I4" s="12">
        <f>IFERROR(VLOOKUP(D4,Matériel!$B$4:$D$13,3,FALSE),0)</f>
        <v/>
      </c>
      <c r="J4" s="12">
        <f>H4*I4</f>
        <v/>
      </c>
      <c r="K4" s="3" t="inlineStr">
        <is>
          <t>Confirmée</t>
        </is>
      </c>
      <c r="L4" s="3" t="inlineStr">
        <is>
          <t>Oui</t>
        </is>
      </c>
    </row>
    <row r="5">
      <c r="A5" s="6" t="inlineStr">
        <is>
          <t>R002</t>
        </is>
      </c>
      <c r="B5" s="7" t="inlineStr">
        <is>
          <t>Julien Moreau</t>
        </is>
      </c>
      <c r="C5" s="6" t="inlineStr">
        <is>
          <t>Marketing</t>
        </is>
      </c>
      <c r="D5" s="10" t="inlineStr">
        <is>
          <t>Vidéoprojecteur Epson EB-2250</t>
        </is>
      </c>
      <c r="E5" s="6">
        <f>IFERROR(VLOOKUP(D5,Matériel!$B$4:$D$13,2,FALSE),"")</f>
        <v/>
      </c>
      <c r="F5" s="13" t="n">
        <v>46096</v>
      </c>
      <c r="G5" s="13" t="n">
        <v>46096</v>
      </c>
      <c r="H5" s="6">
        <f>IF(AND(F5&lt;&gt;"",G5&lt;&gt;""),G5-F5+1,0)</f>
        <v/>
      </c>
      <c r="I5" s="14">
        <f>IFERROR(VLOOKUP(D5,Matériel!$B$4:$D$13,3,FALSE),0)</f>
        <v/>
      </c>
      <c r="J5" s="14">
        <f>H5*I5</f>
        <v/>
      </c>
      <c r="K5" s="6" t="inlineStr">
        <is>
          <t>Confirmée</t>
        </is>
      </c>
      <c r="L5" s="6" t="inlineStr">
        <is>
          <t>Oui</t>
        </is>
      </c>
    </row>
    <row r="6">
      <c r="A6" s="3" t="inlineStr">
        <is>
          <t>R003</t>
        </is>
      </c>
      <c r="B6" s="4" t="inlineStr">
        <is>
          <t>Sophie Lambert</t>
        </is>
      </c>
      <c r="C6" s="3" t="inlineStr">
        <is>
          <t>Événementiel</t>
        </is>
      </c>
      <c r="D6" s="10" t="inlineStr">
        <is>
          <t>Enceinte JBL EON615</t>
        </is>
      </c>
      <c r="E6" s="3">
        <f>IFERROR(VLOOKUP(D6,Matériel!$B$4:$D$13,2,FALSE),"")</f>
        <v/>
      </c>
      <c r="F6" s="11" t="n">
        <v>46103</v>
      </c>
      <c r="G6" s="11" t="n">
        <v>46105</v>
      </c>
      <c r="H6" s="3">
        <f>IF(AND(F6&lt;&gt;"",G6&lt;&gt;""),G6-F6+1,0)</f>
        <v/>
      </c>
      <c r="I6" s="12">
        <f>IFERROR(VLOOKUP(D6,Matériel!$B$4:$D$13,3,FALSE),0)</f>
        <v/>
      </c>
      <c r="J6" s="12">
        <f>H6*I6</f>
        <v/>
      </c>
      <c r="K6" s="3" t="inlineStr">
        <is>
          <t>Confirmée</t>
        </is>
      </c>
      <c r="L6" s="3" t="inlineStr">
        <is>
          <t>Non</t>
        </is>
      </c>
    </row>
    <row r="7">
      <c r="A7" s="6" t="inlineStr">
        <is>
          <t>R004</t>
        </is>
      </c>
      <c r="B7" s="7" t="inlineStr">
        <is>
          <t>Thomas Girard</t>
        </is>
      </c>
      <c r="C7" s="6" t="inlineStr">
        <is>
          <t>RH</t>
        </is>
      </c>
      <c r="D7" s="10" t="inlineStr">
        <is>
          <t>Micro HF Shure SM58</t>
        </is>
      </c>
      <c r="E7" s="6">
        <f>IFERROR(VLOOKUP(D7,Matériel!$B$4:$D$13,2,FALSE),"")</f>
        <v/>
      </c>
      <c r="F7" s="13" t="n">
        <v>46114</v>
      </c>
      <c r="G7" s="13" t="n">
        <v>46114</v>
      </c>
      <c r="H7" s="6">
        <f>IF(AND(F7&lt;&gt;"",G7&lt;&gt;""),G7-F7+1,0)</f>
        <v/>
      </c>
      <c r="I7" s="14">
        <f>IFERROR(VLOOKUP(D7,Matériel!$B$4:$D$13,3,FALSE),0)</f>
        <v/>
      </c>
      <c r="J7" s="14">
        <f>H7*I7</f>
        <v/>
      </c>
      <c r="K7" s="6" t="inlineStr">
        <is>
          <t>En attente</t>
        </is>
      </c>
      <c r="L7" s="6" t="inlineStr">
        <is>
          <t>Non</t>
        </is>
      </c>
    </row>
    <row r="8">
      <c r="A8" s="3" t="inlineStr">
        <is>
          <t>R005</t>
        </is>
      </c>
      <c r="B8" s="4" t="inlineStr">
        <is>
          <t>Camille Bernard</t>
        </is>
      </c>
      <c r="C8" s="3" t="inlineStr">
        <is>
          <t>Direction</t>
        </is>
      </c>
      <c r="D8" s="10" t="inlineStr">
        <is>
          <t>Ordinateur portable Dell XPS</t>
        </is>
      </c>
      <c r="E8" s="3">
        <f>IFERROR(VLOOKUP(D8,Matériel!$B$4:$D$13,2,FALSE),"")</f>
        <v/>
      </c>
      <c r="F8" s="11" t="n">
        <v>46120</v>
      </c>
      <c r="G8" s="11" t="n">
        <v>46122</v>
      </c>
      <c r="H8" s="3">
        <f>IF(AND(F8&lt;&gt;"",G8&lt;&gt;""),G8-F8+1,0)</f>
        <v/>
      </c>
      <c r="I8" s="12">
        <f>IFERROR(VLOOKUP(D8,Matériel!$B$4:$D$13,3,FALSE),0)</f>
        <v/>
      </c>
      <c r="J8" s="12">
        <f>H8*I8</f>
        <v/>
      </c>
      <c r="K8" s="3" t="inlineStr">
        <is>
          <t>Confirmée</t>
        </is>
      </c>
      <c r="L8" s="3" t="inlineStr">
        <is>
          <t>Non</t>
        </is>
      </c>
    </row>
    <row r="9">
      <c r="A9" s="6" t="inlineStr">
        <is>
          <t>R006</t>
        </is>
      </c>
      <c r="B9" s="7" t="inlineStr">
        <is>
          <t>Nicolas Petit</t>
        </is>
      </c>
      <c r="C9" s="6" t="inlineStr">
        <is>
          <t>Événementiel</t>
        </is>
      </c>
      <c r="D9" s="10" t="inlineStr">
        <is>
          <t>Table de mixage Yamaha MG12</t>
        </is>
      </c>
      <c r="E9" s="6">
        <f>IFERROR(VLOOKUP(D9,Matériel!$B$4:$D$13,2,FALSE),"")</f>
        <v/>
      </c>
      <c r="F9" s="13" t="n">
        <v>46130</v>
      </c>
      <c r="G9" s="13" t="n">
        <v>46132</v>
      </c>
      <c r="H9" s="6">
        <f>IF(AND(F9&lt;&gt;"",G9&lt;&gt;""),G9-F9+1,0)</f>
        <v/>
      </c>
      <c r="I9" s="14">
        <f>IFERROR(VLOOKUP(D9,Matériel!$B$4:$D$13,3,FALSE),0)</f>
        <v/>
      </c>
      <c r="J9" s="14">
        <f>H9*I9</f>
        <v/>
      </c>
      <c r="K9" s="6" t="inlineStr">
        <is>
          <t>Annulée</t>
        </is>
      </c>
      <c r="L9" s="6" t="inlineStr">
        <is>
          <t>Non</t>
        </is>
      </c>
    </row>
    <row r="10">
      <c r="A10" s="3" t="inlineStr">
        <is>
          <t>R007</t>
        </is>
      </c>
      <c r="B10" s="4" t="inlineStr">
        <is>
          <t>Léa Rousseau</t>
        </is>
      </c>
      <c r="C10" s="3" t="inlineStr">
        <is>
          <t>Communication</t>
        </is>
      </c>
      <c r="D10" s="10" t="inlineStr">
        <is>
          <t>Éclairage LED Kit Godox</t>
        </is>
      </c>
      <c r="E10" s="3">
        <f>IFERROR(VLOOKUP(D10,Matériel!$B$4:$D$13,2,FALSE),"")</f>
        <v/>
      </c>
      <c r="F10" s="11" t="n">
        <v>46147</v>
      </c>
      <c r="G10" s="11" t="n">
        <v>46149</v>
      </c>
      <c r="H10" s="3">
        <f>IF(AND(F10&lt;&gt;"",G10&lt;&gt;""),G10-F10+1,0)</f>
        <v/>
      </c>
      <c r="I10" s="12">
        <f>IFERROR(VLOOKUP(D10,Matériel!$B$4:$D$13,3,FALSE),0)</f>
        <v/>
      </c>
      <c r="J10" s="12">
        <f>H10*I10</f>
        <v/>
      </c>
      <c r="K10" s="3" t="inlineStr">
        <is>
          <t>Confirmée</t>
        </is>
      </c>
      <c r="L10" s="3" t="inlineStr">
        <is>
          <t>Non</t>
        </is>
      </c>
    </row>
    <row r="11">
      <c r="A11" s="6" t="inlineStr">
        <is>
          <t>R008</t>
        </is>
      </c>
      <c r="B11" s="7" t="inlineStr">
        <is>
          <t>Antoine Fontaine</t>
        </is>
      </c>
      <c r="C11" s="6" t="inlineStr">
        <is>
          <t>Marketing</t>
        </is>
      </c>
      <c r="D11" s="10" t="inlineStr">
        <is>
          <t>Écran de projection 200cm</t>
        </is>
      </c>
      <c r="E11" s="6">
        <f>IFERROR(VLOOKUP(D11,Matériel!$B$4:$D$13,2,FALSE),"")</f>
        <v/>
      </c>
      <c r="F11" s="13" t="n">
        <v>46154</v>
      </c>
      <c r="G11" s="13" t="n">
        <v>46154</v>
      </c>
      <c r="H11" s="6">
        <f>IF(AND(F11&lt;&gt;"",G11&lt;&gt;""),G11-F11+1,0)</f>
        <v/>
      </c>
      <c r="I11" s="14">
        <f>IFERROR(VLOOKUP(D11,Matériel!$B$4:$D$13,3,FALSE),0)</f>
        <v/>
      </c>
      <c r="J11" s="14">
        <f>H11*I11</f>
        <v/>
      </c>
      <c r="K11" s="6" t="inlineStr">
        <is>
          <t>Confirmée</t>
        </is>
      </c>
      <c r="L11" s="6" t="inlineStr">
        <is>
          <t>Oui</t>
        </is>
      </c>
    </row>
    <row r="12">
      <c r="A12" s="3" t="inlineStr">
        <is>
          <t>R009</t>
        </is>
      </c>
      <c r="B12" s="4" t="inlineStr">
        <is>
          <t>Claire Mathieu</t>
        </is>
      </c>
      <c r="C12" s="3" t="inlineStr">
        <is>
          <t>Direction</t>
        </is>
      </c>
      <c r="D12" s="10" t="inlineStr">
        <is>
          <t>Trépied Manfrotto MT055</t>
        </is>
      </c>
      <c r="E12" s="3">
        <f>IFERROR(VLOOKUP(D12,Matériel!$B$4:$D$13,2,FALSE),"")</f>
        <v/>
      </c>
      <c r="F12" s="11" t="n">
        <v>46162</v>
      </c>
      <c r="G12" s="11" t="n">
        <v>46164</v>
      </c>
      <c r="H12" s="3">
        <f>IF(AND(F12&lt;&gt;"",G12&lt;&gt;""),G12-F12+1,0)</f>
        <v/>
      </c>
      <c r="I12" s="12">
        <f>IFERROR(VLOOKUP(D12,Matériel!$B$4:$D$13,3,FALSE),0)</f>
        <v/>
      </c>
      <c r="J12" s="12">
        <f>H12*I12</f>
        <v/>
      </c>
      <c r="K12" s="3" t="inlineStr">
        <is>
          <t>En attente</t>
        </is>
      </c>
      <c r="L12" s="3" t="inlineStr">
        <is>
          <t>Non</t>
        </is>
      </c>
    </row>
    <row r="13">
      <c r="A13" s="6" t="inlineStr">
        <is>
          <t>R010</t>
        </is>
      </c>
      <c r="B13" s="7" t="inlineStr">
        <is>
          <t>Hugo Lefevre</t>
        </is>
      </c>
      <c r="C13" s="6" t="inlineStr">
        <is>
          <t>Événementiel</t>
        </is>
      </c>
      <c r="D13" s="10" t="inlineStr">
        <is>
          <t>Kit câbles HDMI/XLR</t>
        </is>
      </c>
      <c r="E13" s="6">
        <f>IFERROR(VLOOKUP(D13,Matériel!$B$4:$D$13,2,FALSE),"")</f>
        <v/>
      </c>
      <c r="F13" s="13" t="n">
        <v>46174</v>
      </c>
      <c r="G13" s="13" t="n">
        <v>46176</v>
      </c>
      <c r="H13" s="6">
        <f>IF(AND(F13&lt;&gt;"",G13&lt;&gt;""),G13-F13+1,0)</f>
        <v/>
      </c>
      <c r="I13" s="14">
        <f>IFERROR(VLOOKUP(D13,Matériel!$B$4:$D$13,3,FALSE),0)</f>
        <v/>
      </c>
      <c r="J13" s="14">
        <f>H13*I13</f>
        <v/>
      </c>
      <c r="K13" s="6" t="inlineStr">
        <is>
          <t>Confirmée</t>
        </is>
      </c>
      <c r="L13" s="6" t="inlineStr">
        <is>
          <t>Non</t>
        </is>
      </c>
    </row>
    <row r="15">
      <c r="B15" s="9" t="inlineStr">
        <is>
          <t>TOTAUX</t>
        </is>
      </c>
      <c r="H15" s="9">
        <f>SUM(H4:H13)</f>
        <v/>
      </c>
      <c r="J15" s="15">
        <f>SUM(J4:J13)</f>
        <v/>
      </c>
    </row>
    <row r="16">
      <c r="B16" s="9" t="inlineStr">
        <is>
          <t>COÛT MOYEN / RESA</t>
        </is>
      </c>
      <c r="J16" s="15">
        <f>IFERROR(AVERAGE(J4:J13),0)</f>
        <v/>
      </c>
    </row>
  </sheetData>
  <mergeCells count="1">
    <mergeCell ref="A1:L1"/>
  </mergeCells>
  <conditionalFormatting sqref="K4:K13">
    <cfRule type="expression" priority="1" dxfId="1" stopIfTrue="1">
      <formula>K4="Confirmée"</formula>
    </cfRule>
    <cfRule type="expression" priority="2" dxfId="2" stopIfTrue="1">
      <formula>K4="En attente"</formula>
    </cfRule>
    <cfRule type="expression" priority="3" dxfId="0" stopIfTrue="1">
      <formula>K4="Annulée"</formula>
    </cfRule>
  </conditionalFormatting>
  <dataValidations count="3">
    <dataValidation sqref="D4:D13" showErrorMessage="1" showInputMessage="1" allowBlank="1" type="list">
      <formula1>=Matériel!$B$4:$B$13</formula1>
    </dataValidation>
    <dataValidation sqref="K4:K13" showErrorMessage="1" showInputMessage="1" allowBlank="1" type="list">
      <formula1>"Confirmée,En attente,Annulée"</formula1>
    </dataValidation>
    <dataValidation sqref="L4:L13" showErrorMessage="1" showInputMessage="1" allowBlank="1" type="list">
      <formula1>"Oui,Non,N/A"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4" customWidth="1" min="4" max="4"/>
    <col width="4" customWidth="1" min="5" max="5"/>
    <col width="12" customWidth="1" min="6" max="6"/>
    <col width="14" customWidth="1" min="7" max="7"/>
  </cols>
  <sheetData>
    <row r="1" ht="28" customHeight="1">
      <c r="A1" s="1" t="inlineStr">
        <is>
          <t>TABLEAU DE BORD - SUIVI DES RESERVATIONS</t>
        </is>
      </c>
    </row>
    <row r="3" ht="30" customHeight="1">
      <c r="A3" s="16" t="inlineStr">
        <is>
          <t>Nombre total de réservations</t>
        </is>
      </c>
      <c r="B3" s="17" t="n"/>
      <c r="C3" s="16" t="inlineStr">
        <is>
          <t>Coût total réservé</t>
        </is>
      </c>
      <c r="D3" s="17" t="n"/>
      <c r="E3" s="16" t="inlineStr">
        <is>
          <t>Coût moyen par réservation</t>
        </is>
      </c>
      <c r="F3" s="17" t="n"/>
    </row>
    <row r="4">
      <c r="A4" s="18">
        <f>COUNTA(Réservations!A4:A13)</f>
        <v/>
      </c>
      <c r="B4" s="17" t="n"/>
      <c r="C4" s="19">
        <f>SUM(Réservations!J4:J13)</f>
        <v/>
      </c>
      <c r="D4" s="17" t="n"/>
      <c r="E4" s="19">
        <f>IFERROR(AVERAGE(Réservations!J4:J13),0)</f>
        <v/>
      </c>
      <c r="F4" s="17" t="n"/>
    </row>
    <row r="6" ht="30" customHeight="1">
      <c r="A6" s="16" t="inlineStr">
        <is>
          <t>Réservations confirmées</t>
        </is>
      </c>
      <c r="B6" s="17" t="n"/>
      <c r="C6" s="16" t="inlineStr">
        <is>
          <t>Réservations en attente</t>
        </is>
      </c>
      <c r="D6" s="17" t="n"/>
      <c r="E6" s="16" t="inlineStr">
        <is>
          <t>Réservations annulées</t>
        </is>
      </c>
      <c r="F6" s="17" t="n"/>
    </row>
    <row r="7">
      <c r="A7" s="18">
        <f>COUNTIF(Réservations!K4:K13,"Confirmée")</f>
        <v/>
      </c>
      <c r="B7" s="17" t="n"/>
      <c r="C7" s="18">
        <f>COUNTIF(Réservations!K4:K13,"En attente")</f>
        <v/>
      </c>
      <c r="D7" s="17" t="n"/>
      <c r="E7" s="18">
        <f>COUNTIF(Réservations!K4:K13,"Annulée")</f>
        <v/>
      </c>
      <c r="F7" s="17" t="n"/>
    </row>
    <row r="10">
      <c r="A10" s="2" t="inlineStr">
        <is>
          <t>Catégorie</t>
        </is>
      </c>
      <c r="B10" s="2" t="inlineStr">
        <is>
          <t>Nb réservations</t>
        </is>
      </c>
      <c r="C10" s="2" t="inlineStr">
        <is>
          <t>Coût total</t>
        </is>
      </c>
      <c r="F10" s="2" t="inlineStr">
        <is>
          <t>ID Résa</t>
        </is>
      </c>
      <c r="G10" s="2" t="inlineStr">
        <is>
          <t>Coût total</t>
        </is>
      </c>
    </row>
    <row r="11">
      <c r="A11" s="3" t="inlineStr">
        <is>
          <t>Caméra</t>
        </is>
      </c>
      <c r="B11" s="3">
        <f>COUNTIF(Réservations!$E$4:$E$13,A11)</f>
        <v/>
      </c>
      <c r="C11" s="12">
        <f>SUMIF(Réservations!$E$4:$E$13,A11,Réservations!$J$4:$J$13)</f>
        <v/>
      </c>
      <c r="F11" s="3">
        <f>Réservations!A4</f>
        <v/>
      </c>
      <c r="G11" s="5">
        <f>Réservations!J4</f>
        <v/>
      </c>
    </row>
    <row r="12">
      <c r="A12" s="6" t="inlineStr">
        <is>
          <t>Vidéoprojection</t>
        </is>
      </c>
      <c r="B12" s="6">
        <f>COUNTIF(Réservations!$E$4:$E$13,A12)</f>
        <v/>
      </c>
      <c r="C12" s="14">
        <f>SUMIF(Réservations!$E$4:$E$13,A12,Réservations!$J$4:$J$13)</f>
        <v/>
      </c>
      <c r="F12" s="6">
        <f>Réservations!A5</f>
        <v/>
      </c>
      <c r="G12" s="8">
        <f>Réservations!J5</f>
        <v/>
      </c>
    </row>
    <row r="13">
      <c r="A13" s="3" t="inlineStr">
        <is>
          <t>Audio</t>
        </is>
      </c>
      <c r="B13" s="3">
        <f>COUNTIF(Réservations!$E$4:$E$13,A13)</f>
        <v/>
      </c>
      <c r="C13" s="12">
        <f>SUMIF(Réservations!$E$4:$E$13,A13,Réservations!$J$4:$J$13)</f>
        <v/>
      </c>
      <c r="F13" s="3">
        <f>Réservations!A6</f>
        <v/>
      </c>
      <c r="G13" s="5">
        <f>Réservations!J6</f>
        <v/>
      </c>
    </row>
    <row r="14">
      <c r="A14" s="6" t="inlineStr">
        <is>
          <t>Éclairage</t>
        </is>
      </c>
      <c r="B14" s="6">
        <f>COUNTIF(Réservations!$E$4:$E$13,A14)</f>
        <v/>
      </c>
      <c r="C14" s="14">
        <f>SUMIF(Réservations!$E$4:$E$13,A14,Réservations!$J$4:$J$13)</f>
        <v/>
      </c>
      <c r="F14" s="6">
        <f>Réservations!A7</f>
        <v/>
      </c>
      <c r="G14" s="8">
        <f>Réservations!J7</f>
        <v/>
      </c>
    </row>
    <row r="15">
      <c r="A15" s="3" t="inlineStr">
        <is>
          <t>Accessoires</t>
        </is>
      </c>
      <c r="B15" s="3">
        <f>COUNTIF(Réservations!$E$4:$E$13,A15)</f>
        <v/>
      </c>
      <c r="C15" s="12">
        <f>SUMIF(Réservations!$E$4:$E$13,A15,Réservations!$J$4:$J$13)</f>
        <v/>
      </c>
      <c r="F15" s="3">
        <f>Réservations!A8</f>
        <v/>
      </c>
      <c r="G15" s="5">
        <f>Réservations!J8</f>
        <v/>
      </c>
    </row>
    <row r="16">
      <c r="A16" s="6" t="inlineStr">
        <is>
          <t>Informatique</t>
        </is>
      </c>
      <c r="B16" s="6">
        <f>COUNTIF(Réservations!$E$4:$E$13,A16)</f>
        <v/>
      </c>
      <c r="C16" s="14">
        <f>SUMIF(Réservations!$E$4:$E$13,A16,Réservations!$J$4:$J$13)</f>
        <v/>
      </c>
      <c r="F16" s="6">
        <f>Réservations!A9</f>
        <v/>
      </c>
      <c r="G16" s="8">
        <f>Réservations!J9</f>
        <v/>
      </c>
    </row>
    <row r="17">
      <c r="F17" s="3">
        <f>Réservations!A10</f>
        <v/>
      </c>
      <c r="G17" s="5">
        <f>Réservations!J10</f>
        <v/>
      </c>
    </row>
    <row r="18">
      <c r="F18" s="6">
        <f>Réservations!A11</f>
        <v/>
      </c>
      <c r="G18" s="8">
        <f>Réservations!J11</f>
        <v/>
      </c>
    </row>
    <row r="19">
      <c r="F19" s="3">
        <f>Réservations!A12</f>
        <v/>
      </c>
      <c r="G19" s="5">
        <f>Réservations!J12</f>
        <v/>
      </c>
    </row>
    <row r="20">
      <c r="F20" s="6">
        <f>Réservations!A13</f>
        <v/>
      </c>
      <c r="G20" s="8">
        <f>Réservations!J13</f>
        <v/>
      </c>
    </row>
  </sheetData>
  <mergeCells count="13">
    <mergeCell ref="A1:F1"/>
    <mergeCell ref="A3:B3"/>
    <mergeCell ref="A4:B4"/>
    <mergeCell ref="C3:D3"/>
    <mergeCell ref="C4:D4"/>
    <mergeCell ref="E3:F3"/>
    <mergeCell ref="E4:F4"/>
    <mergeCell ref="A6:B6"/>
    <mergeCell ref="A7:B7"/>
    <mergeCell ref="C6:D6"/>
    <mergeCell ref="C7:D7"/>
    <mergeCell ref="E6:F6"/>
    <mergeCell ref="E7:F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MODE D'EMPLOI DU CLASSEUR</t>
        </is>
      </c>
    </row>
    <row r="3" ht="45" customHeight="1">
      <c r="A3" s="16" t="inlineStr">
        <is>
          <t>Objectif</t>
        </is>
      </c>
      <c r="B3" s="20" t="inlineStr">
        <is>
          <t>Ce classeur permet de gérer les réservations de matériel audiovisuel : suivi du stock, des réservations, des coûts et des statuts.</t>
        </is>
      </c>
    </row>
    <row r="4" ht="45" customHeight="1">
      <c r="A4" s="16" t="inlineStr">
        <is>
          <t>Feuille Matériel</t>
        </is>
      </c>
      <c r="B4" s="20" t="inlineStr">
        <is>
          <t>Catalogue du matériel disponible : ID, nom, catégorie, prix/jour, stock total. Les colonnes 'Réservations en cours' et 'Disponible' se calculent automatiquement à partir de la feuille Réservations.</t>
        </is>
      </c>
    </row>
    <row r="5" ht="45" customHeight="1">
      <c r="A5" s="16" t="inlineStr">
        <is>
          <t>Feuille Réservations</t>
        </is>
      </c>
      <c r="B5" s="20" t="inlineStr">
        <is>
          <t>Saisir chaque réservation : demandeur, service, matériel (liste déroulante), dates de début/fin. La catégorie, le prix/jour, le nombre de jours et le coût total se calculent automatiquement via VLOOKUP.</t>
        </is>
      </c>
    </row>
    <row r="6" ht="45" customHeight="1">
      <c r="A6" s="16" t="inlineStr">
        <is>
          <t>Colonne Statut réservation</t>
        </is>
      </c>
      <c r="B6" s="20" t="inlineStr">
        <is>
          <t>Choisir dans la liste déroulante : Confirmée, En attente ou Annulée. Une couleur s'applique automatiquement selon le statut.</t>
        </is>
      </c>
    </row>
    <row r="7" ht="45" customHeight="1">
      <c r="A7" s="16" t="inlineStr">
        <is>
          <t>Colonne Retour effectué</t>
        </is>
      </c>
      <c r="B7" s="20" t="inlineStr">
        <is>
          <t>Indiquer si le matériel a été rendu : Oui, Non ou N/A.</t>
        </is>
      </c>
    </row>
    <row r="8" ht="45" customHeight="1">
      <c r="A8" s="16" t="inlineStr">
        <is>
          <t>Feuille Tableau de bord</t>
        </is>
      </c>
      <c r="B8" s="20" t="inlineStr">
        <is>
          <t>Synthèse visuelle : indicateurs clés (nombre de réservations, coût total, coût moyen), répartition par catégorie (camembert) et coût par réservation (histogramme).</t>
        </is>
      </c>
    </row>
    <row r="9" ht="45" customHeight="1">
      <c r="A9" s="16" t="inlineStr">
        <is>
          <t>Cellules jaunes</t>
        </is>
      </c>
      <c r="B9" s="20" t="inlineStr">
        <is>
          <t>Les cellules à fond jaune pâle (colonne Matériel réservé) sont destinées à la saisie manuelle.</t>
        </is>
      </c>
    </row>
    <row r="10" ht="45" customHeight="1">
      <c r="A10" s="16" t="inlineStr">
        <is>
          <t>Mise à jour</t>
        </is>
      </c>
      <c r="B10" s="20" t="inlineStr">
        <is>
          <t>Ajouter simplement une nouvelle ligne dans la feuille Réservations ou Matériel ; toutes les formules et graphiques se recalculent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2026-07-21T18:14:26Z</dcterms:created>
  <dcterms:modified xmlns:dcterms="http://purl.org/dc/terms/" xmlns:xsi="http://www.w3.org/2001/XMLSchema-instance" xsi:type="dcterms:W3CDTF">2026-07-21T18:14:26Z</dcterms:modified>
</cp:coreProperties>
</file>